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715"/>
  <workbookPr/>
  <mc:AlternateContent xmlns:mc="http://schemas.openxmlformats.org/markup-compatibility/2006">
    <mc:Choice Requires="x15">
      <x15ac:absPath xmlns:x15ac="http://schemas.microsoft.com/office/spreadsheetml/2010/11/ac" url="/Users/Spesam/Dropbox/Landstingspolitik/Regionens ekonomi/"/>
    </mc:Choice>
  </mc:AlternateContent>
  <bookViews>
    <workbookView xWindow="10560" yWindow="9840" windowWidth="24800" windowHeight="14640" firstSheet="1" activeTab="3"/>
  </bookViews>
  <sheets>
    <sheet name="föränd jfr inv plan" sheetId="1" r:id="rId1"/>
    <sheet name="Invram per styrelsenämnd" sheetId="3" r:id="rId2"/>
    <sheet name="Inv plan 2018-2027 sekretess" sheetId="2" r:id="rId3"/>
    <sheet name="Inv plan 2018-2027 underlag RPB" sheetId="4" r:id="rId4"/>
    <sheet name="inv plan efter år 2024" sheetId="5" r:id="rId5"/>
  </sheets>
  <externalReferences>
    <externalReference r:id="rId6"/>
  </externalReferences>
  <definedNames>
    <definedName name="_xlnm._FilterDatabase" localSheetId="2" hidden="1">'Inv plan 2018-2027 sekretess'!$B$55:$BR$160</definedName>
    <definedName name="_xlnm._FilterDatabase" localSheetId="3" hidden="1">'Inv plan 2018-2027 underlag RPB'!$B$43:$BR$109</definedName>
    <definedName name="_xlnm.Print_Titles" localSheetId="2">'Inv plan 2018-2027 sekretess'!$B:$G,'Inv plan 2018-2027 sekretess'!$55:$55</definedName>
    <definedName name="_xlnm.Print_Titles" localSheetId="3">'Inv plan 2018-2027 underlag RPB'!$B:$G,'Inv plan 2018-2027 underlag RPB'!$43:$43</definedName>
    <definedName name="Z_C558EC54_BB2E_4155_9C57_BB0C9111375F_.wvu.PrintTitles" localSheetId="2" hidden="1">'Inv plan 2018-2027 sekretess'!$55:$55</definedName>
    <definedName name="Z_C558EC54_BB2E_4155_9C57_BB0C9111375F_.wvu.PrintTitles" localSheetId="3" hidden="1">'Inv plan 2018-2027 underlag RPB'!$43:$43</definedName>
    <definedName name="Z_C558EC54_BB2E_4155_9C57_BB0C9111375F_.wvu.Rows" localSheetId="2" hidden="1">'Inv plan 2018-2027 sekretess'!$21:$36,'Inv plan 2018-2027 sekretess'!#REF!</definedName>
    <definedName name="Z_C558EC54_BB2E_4155_9C57_BB0C9111375F_.wvu.Rows" localSheetId="3" hidden="1">'Inv plan 2018-2027 underlag RPB'!$18:$33,'Inv plan 2018-2027 underlag RPB'!#REF!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27" i="5" l="1"/>
  <c r="K28" i="5"/>
  <c r="K31" i="5"/>
  <c r="K34" i="5"/>
  <c r="L34" i="5"/>
  <c r="M34" i="5"/>
  <c r="N34" i="5"/>
  <c r="O20" i="5"/>
  <c r="O21" i="5"/>
  <c r="O22" i="5"/>
  <c r="O23" i="5"/>
  <c r="O24" i="5"/>
  <c r="O25" i="5"/>
  <c r="O26" i="5"/>
  <c r="O27" i="5"/>
  <c r="O28" i="5"/>
  <c r="O29" i="5"/>
  <c r="O30" i="5"/>
  <c r="O31" i="5"/>
  <c r="O34" i="5"/>
  <c r="P34" i="5"/>
  <c r="Q34" i="5"/>
  <c r="R34" i="5"/>
  <c r="S21" i="5"/>
  <c r="S27" i="5"/>
  <c r="S29" i="5"/>
  <c r="S30" i="5"/>
  <c r="S31" i="5"/>
  <c r="S34" i="5"/>
  <c r="T21" i="5"/>
  <c r="T27" i="5"/>
  <c r="T29" i="5"/>
  <c r="T34" i="5"/>
  <c r="U21" i="5"/>
  <c r="U29" i="5"/>
  <c r="U34" i="5"/>
  <c r="V29" i="5"/>
  <c r="V34" i="5"/>
  <c r="W20" i="5"/>
  <c r="W21" i="5"/>
  <c r="W22" i="5"/>
  <c r="W23" i="5"/>
  <c r="W24" i="5"/>
  <c r="W25" i="5"/>
  <c r="W26" i="5"/>
  <c r="W27" i="5"/>
  <c r="W28" i="5"/>
  <c r="W29" i="5"/>
  <c r="W30" i="5"/>
  <c r="W31" i="5"/>
  <c r="W34" i="5"/>
  <c r="X20" i="5"/>
  <c r="X21" i="5"/>
  <c r="X22" i="5"/>
  <c r="X23" i="5"/>
  <c r="X24" i="5"/>
  <c r="X25" i="5"/>
  <c r="X26" i="5"/>
  <c r="X27" i="5"/>
  <c r="X28" i="5"/>
  <c r="X29" i="5"/>
  <c r="X30" i="5"/>
  <c r="X31" i="5"/>
  <c r="X34" i="5"/>
  <c r="Y34" i="5"/>
  <c r="J27" i="5"/>
  <c r="J34" i="5"/>
  <c r="AW20" i="5"/>
  <c r="AV20" i="5"/>
  <c r="AL20" i="5"/>
  <c r="AK20" i="5"/>
  <c r="L67" i="5"/>
  <c r="M67" i="5"/>
  <c r="M13" i="5"/>
  <c r="N67" i="5"/>
  <c r="N13" i="5"/>
  <c r="P67" i="5"/>
  <c r="Q67" i="5"/>
  <c r="Q13" i="5"/>
  <c r="R67" i="5"/>
  <c r="R13" i="5"/>
  <c r="T67" i="5"/>
  <c r="U67" i="5"/>
  <c r="U13" i="5"/>
  <c r="V67" i="5"/>
  <c r="V13" i="5"/>
  <c r="L13" i="5"/>
  <c r="P13" i="5"/>
  <c r="T13" i="5"/>
  <c r="K71" i="5"/>
  <c r="K14" i="5"/>
  <c r="N71" i="5"/>
  <c r="N14" i="5"/>
  <c r="P71" i="5"/>
  <c r="P14" i="5"/>
  <c r="S71" i="5"/>
  <c r="S14" i="5"/>
  <c r="T71" i="5"/>
  <c r="T14" i="5"/>
  <c r="Y14" i="5"/>
  <c r="J71" i="5"/>
  <c r="J14" i="5"/>
  <c r="J47" i="5"/>
  <c r="J12" i="5"/>
  <c r="J67" i="5"/>
  <c r="J13" i="5"/>
  <c r="J36" i="4"/>
  <c r="M47" i="5"/>
  <c r="M12" i="5"/>
  <c r="N47" i="5"/>
  <c r="N12" i="5"/>
  <c r="R47" i="5"/>
  <c r="R12" i="5"/>
  <c r="V47" i="5"/>
  <c r="V12" i="5"/>
  <c r="R38" i="5"/>
  <c r="R11" i="5"/>
  <c r="Y11" i="5"/>
  <c r="Y15" i="5"/>
  <c r="L71" i="5"/>
  <c r="L47" i="5"/>
  <c r="L38" i="5"/>
  <c r="L72" i="5"/>
  <c r="M71" i="5"/>
  <c r="P47" i="5"/>
  <c r="P38" i="5"/>
  <c r="P72" i="5"/>
  <c r="Q71" i="5"/>
  <c r="R71" i="5"/>
  <c r="R72" i="5"/>
  <c r="U71" i="5"/>
  <c r="V71" i="5"/>
  <c r="K47" i="5"/>
  <c r="K12" i="5"/>
  <c r="L12" i="5"/>
  <c r="P12" i="5"/>
  <c r="Q47" i="5"/>
  <c r="Q12" i="5"/>
  <c r="S47" i="5"/>
  <c r="S12" i="5"/>
  <c r="T47" i="5"/>
  <c r="T12" i="5"/>
  <c r="U47" i="5"/>
  <c r="U12" i="5"/>
  <c r="K38" i="5"/>
  <c r="L11" i="5"/>
  <c r="M38" i="5"/>
  <c r="M11" i="5"/>
  <c r="N38" i="5"/>
  <c r="N11" i="5"/>
  <c r="P11" i="5"/>
  <c r="Q38" i="5"/>
  <c r="S38" i="5"/>
  <c r="T38" i="5"/>
  <c r="U38" i="5"/>
  <c r="V38" i="5"/>
  <c r="J38" i="5"/>
  <c r="Q72" i="5"/>
  <c r="Q11" i="5"/>
  <c r="M72" i="5"/>
  <c r="V14" i="5"/>
  <c r="R14" i="5"/>
  <c r="N72" i="5"/>
  <c r="U14" i="5"/>
  <c r="Q14" i="5"/>
  <c r="M14" i="5"/>
  <c r="L14" i="5"/>
  <c r="L15" i="5"/>
  <c r="L16" i="5"/>
  <c r="Q15" i="5"/>
  <c r="M15" i="5"/>
  <c r="R15" i="5"/>
  <c r="R16" i="5"/>
  <c r="N15" i="5"/>
  <c r="Q16" i="5"/>
  <c r="P15" i="5"/>
  <c r="P16" i="5"/>
  <c r="K18" i="4"/>
  <c r="M18" i="4"/>
  <c r="N18" i="4"/>
  <c r="P18" i="4"/>
  <c r="R18" i="4"/>
  <c r="T18" i="4"/>
  <c r="U18" i="4"/>
  <c r="V18" i="4"/>
  <c r="S18" i="4"/>
  <c r="N96" i="4"/>
  <c r="N30" i="4"/>
  <c r="T30" i="4"/>
  <c r="U30" i="4"/>
  <c r="V30" i="4"/>
  <c r="S30" i="4"/>
  <c r="L36" i="4"/>
  <c r="M36" i="4"/>
  <c r="N36" i="4"/>
  <c r="P36" i="4"/>
  <c r="Q36" i="4"/>
  <c r="R36" i="4"/>
  <c r="S36" i="4"/>
  <c r="T36" i="4"/>
  <c r="U36" i="4"/>
  <c r="V36" i="4"/>
  <c r="Y36" i="4"/>
  <c r="K36" i="4"/>
  <c r="N22" i="4"/>
  <c r="P22" i="4"/>
  <c r="R22" i="4"/>
  <c r="S22" i="4"/>
  <c r="T22" i="4"/>
  <c r="U22" i="4"/>
  <c r="V22" i="4"/>
  <c r="L20" i="4"/>
  <c r="M20" i="4"/>
  <c r="N20" i="4"/>
  <c r="P20" i="4"/>
  <c r="Q20" i="4"/>
  <c r="R20" i="4"/>
  <c r="S20" i="4"/>
  <c r="T20" i="4"/>
  <c r="U20" i="4"/>
  <c r="V20" i="4"/>
  <c r="U83" i="4"/>
  <c r="U38" i="4"/>
  <c r="N2" i="4"/>
  <c r="P2" i="4"/>
  <c r="Q2" i="4"/>
  <c r="R2" i="4"/>
  <c r="S2" i="4"/>
  <c r="T2" i="4"/>
  <c r="U2" i="4"/>
  <c r="V2" i="4"/>
  <c r="K4" i="4"/>
  <c r="K6" i="4"/>
  <c r="M3" i="4"/>
  <c r="N3" i="4"/>
  <c r="P3" i="4"/>
  <c r="R3" i="4"/>
  <c r="S3" i="4"/>
  <c r="T3" i="4"/>
  <c r="U3" i="4"/>
  <c r="V3" i="4"/>
  <c r="M4" i="4"/>
  <c r="N4" i="4"/>
  <c r="P4" i="4"/>
  <c r="Q4" i="4"/>
  <c r="R4" i="4"/>
  <c r="S4" i="4"/>
  <c r="T4" i="4"/>
  <c r="U4" i="4"/>
  <c r="V4" i="4"/>
  <c r="M6" i="4"/>
  <c r="N6" i="4"/>
  <c r="P6" i="4"/>
  <c r="Q6" i="4"/>
  <c r="R6" i="4"/>
  <c r="S6" i="4"/>
  <c r="T6" i="4"/>
  <c r="U6" i="4"/>
  <c r="V6" i="4"/>
  <c r="L6" i="4"/>
  <c r="L4" i="4"/>
  <c r="L90" i="4"/>
  <c r="L39" i="4"/>
  <c r="O70" i="4"/>
  <c r="W70" i="4"/>
  <c r="X70" i="4"/>
  <c r="AH70" i="4"/>
  <c r="AI70" i="4"/>
  <c r="AJ70" i="4"/>
  <c r="AK70" i="4"/>
  <c r="AL70" i="4"/>
  <c r="AS70" i="4"/>
  <c r="AT70" i="4"/>
  <c r="AU70" i="4"/>
  <c r="AV70" i="4"/>
  <c r="AW70" i="4"/>
  <c r="AW70" i="5"/>
  <c r="AW12" i="4"/>
  <c r="AV70" i="5"/>
  <c r="AV12" i="4"/>
  <c r="X70" i="5"/>
  <c r="O70" i="5"/>
  <c r="J90" i="4"/>
  <c r="J39" i="4"/>
  <c r="M90" i="4"/>
  <c r="M39" i="4"/>
  <c r="N90" i="4"/>
  <c r="N39" i="4"/>
  <c r="P90" i="4"/>
  <c r="P39" i="4"/>
  <c r="Q90" i="4"/>
  <c r="Q39" i="4"/>
  <c r="R90" i="4"/>
  <c r="R39" i="4"/>
  <c r="S90" i="4"/>
  <c r="S39" i="4"/>
  <c r="T90" i="4"/>
  <c r="T39" i="4"/>
  <c r="U90" i="4"/>
  <c r="U39" i="4"/>
  <c r="V90" i="4"/>
  <c r="V39" i="4"/>
  <c r="X66" i="5"/>
  <c r="O66" i="5"/>
  <c r="AW65" i="5"/>
  <c r="AV65" i="5"/>
  <c r="AU65" i="5"/>
  <c r="AL65" i="5"/>
  <c r="AK65" i="5"/>
  <c r="AJ65" i="5"/>
  <c r="X65" i="5"/>
  <c r="O65" i="5"/>
  <c r="W65" i="5"/>
  <c r="AW64" i="5"/>
  <c r="AV64" i="5"/>
  <c r="AU64" i="5"/>
  <c r="AT64" i="5"/>
  <c r="AS64" i="5"/>
  <c r="AR64" i="5"/>
  <c r="AQ64" i="5"/>
  <c r="AP64" i="5"/>
  <c r="AO64" i="5"/>
  <c r="AL64" i="5"/>
  <c r="AK64" i="5"/>
  <c r="AJ64" i="5"/>
  <c r="AI64" i="5"/>
  <c r="AH64" i="5"/>
  <c r="AG64" i="5"/>
  <c r="AF64" i="5"/>
  <c r="AE64" i="5"/>
  <c r="AD64" i="5"/>
  <c r="X64" i="5"/>
  <c r="O64" i="5"/>
  <c r="W64" i="5"/>
  <c r="AW63" i="5"/>
  <c r="AV63" i="5"/>
  <c r="AU63" i="5"/>
  <c r="AL63" i="5"/>
  <c r="AK63" i="5"/>
  <c r="AJ63" i="5"/>
  <c r="S63" i="5"/>
  <c r="S67" i="5"/>
  <c r="O63" i="5"/>
  <c r="K63" i="5"/>
  <c r="K67" i="5"/>
  <c r="K13" i="5"/>
  <c r="X62" i="5"/>
  <c r="O62" i="5"/>
  <c r="W62" i="5"/>
  <c r="AW61" i="5"/>
  <c r="AV61" i="5"/>
  <c r="AU61" i="5"/>
  <c r="AL61" i="5"/>
  <c r="AK61" i="5"/>
  <c r="AJ61" i="5"/>
  <c r="X61" i="5"/>
  <c r="O61" i="5"/>
  <c r="W61" i="5"/>
  <c r="AW60" i="5"/>
  <c r="AV60" i="5"/>
  <c r="AU60" i="5"/>
  <c r="AL60" i="5"/>
  <c r="AK60" i="5"/>
  <c r="AJ60" i="5"/>
  <c r="X60" i="5"/>
  <c r="O60" i="5"/>
  <c r="W60" i="5"/>
  <c r="AW59" i="5"/>
  <c r="AV59" i="5"/>
  <c r="AL59" i="5"/>
  <c r="AK59" i="5"/>
  <c r="X59" i="5"/>
  <c r="O59" i="5"/>
  <c r="AW58" i="5"/>
  <c r="AV58" i="5"/>
  <c r="AL58" i="5"/>
  <c r="AK58" i="5"/>
  <c r="X58" i="5"/>
  <c r="O58" i="5"/>
  <c r="W58" i="5"/>
  <c r="AW57" i="5"/>
  <c r="AV57" i="5"/>
  <c r="AU57" i="5"/>
  <c r="AT57" i="5"/>
  <c r="AS57" i="5"/>
  <c r="AR57" i="5"/>
  <c r="AL57" i="5"/>
  <c r="AK57" i="5"/>
  <c r="AJ57" i="5"/>
  <c r="X57" i="5"/>
  <c r="O57" i="5"/>
  <c r="AW56" i="5"/>
  <c r="AV56" i="5"/>
  <c r="AU56" i="5"/>
  <c r="AL56" i="5"/>
  <c r="AK56" i="5"/>
  <c r="AJ56" i="5"/>
  <c r="X56" i="5"/>
  <c r="O56" i="5"/>
  <c r="W56" i="5"/>
  <c r="AW55" i="5"/>
  <c r="AV55" i="5"/>
  <c r="AU55" i="5"/>
  <c r="AL55" i="5"/>
  <c r="AK55" i="5"/>
  <c r="AJ55" i="5"/>
  <c r="X55" i="5"/>
  <c r="O55" i="5"/>
  <c r="W55" i="5"/>
  <c r="AW54" i="5"/>
  <c r="AV54" i="5"/>
  <c r="AU54" i="5"/>
  <c r="AL54" i="5"/>
  <c r="AK54" i="5"/>
  <c r="AJ54" i="5"/>
  <c r="X54" i="5"/>
  <c r="O54" i="5"/>
  <c r="W54" i="5"/>
  <c r="AW53" i="5"/>
  <c r="AV53" i="5"/>
  <c r="AU53" i="5"/>
  <c r="AL53" i="5"/>
  <c r="AK53" i="5"/>
  <c r="AJ53" i="5"/>
  <c r="X53" i="5"/>
  <c r="O53" i="5"/>
  <c r="W53" i="5"/>
  <c r="AW52" i="5"/>
  <c r="AV52" i="5"/>
  <c r="AU52" i="5"/>
  <c r="AL52" i="5"/>
  <c r="AK52" i="5"/>
  <c r="AJ52" i="5"/>
  <c r="X52" i="5"/>
  <c r="O52" i="5"/>
  <c r="W52" i="5"/>
  <c r="AW51" i="5"/>
  <c r="AV51" i="5"/>
  <c r="AU51" i="5"/>
  <c r="AL51" i="5"/>
  <c r="AK51" i="5"/>
  <c r="AJ51" i="5"/>
  <c r="X51" i="5"/>
  <c r="O51" i="5"/>
  <c r="W51" i="5"/>
  <c r="AW50" i="5"/>
  <c r="AV50" i="5"/>
  <c r="AU50" i="5"/>
  <c r="AL50" i="5"/>
  <c r="AK50" i="5"/>
  <c r="AJ50" i="5"/>
  <c r="X50" i="5"/>
  <c r="O50" i="5"/>
  <c r="X45" i="5"/>
  <c r="O45" i="5"/>
  <c r="W45" i="5"/>
  <c r="AW44" i="5"/>
  <c r="AL44" i="5"/>
  <c r="X44" i="5"/>
  <c r="O44" i="5"/>
  <c r="W44" i="5"/>
  <c r="X43" i="5"/>
  <c r="O43" i="5"/>
  <c r="W43" i="5"/>
  <c r="X42" i="5"/>
  <c r="O42" i="5"/>
  <c r="W42" i="5"/>
  <c r="X41" i="5"/>
  <c r="O41" i="5"/>
  <c r="N65" i="4"/>
  <c r="N77" i="4"/>
  <c r="N37" i="4"/>
  <c r="P65" i="4"/>
  <c r="R65" i="4"/>
  <c r="S65" i="4"/>
  <c r="S77" i="4"/>
  <c r="S83" i="4"/>
  <c r="S106" i="4"/>
  <c r="S108" i="4"/>
  <c r="T65" i="4"/>
  <c r="U65" i="4"/>
  <c r="V65" i="4"/>
  <c r="Y65" i="4"/>
  <c r="Z65" i="4"/>
  <c r="AA65" i="4"/>
  <c r="AB65" i="4"/>
  <c r="AM65" i="4"/>
  <c r="AX65" i="4"/>
  <c r="AY65" i="4"/>
  <c r="AZ65" i="4"/>
  <c r="BA65" i="4"/>
  <c r="BB65" i="4"/>
  <c r="BC65" i="4"/>
  <c r="BD65" i="4"/>
  <c r="BE65" i="4"/>
  <c r="BF65" i="4"/>
  <c r="BG65" i="4"/>
  <c r="BH65" i="4"/>
  <c r="AW37" i="5"/>
  <c r="AL37" i="5"/>
  <c r="X37" i="5"/>
  <c r="X38" i="5"/>
  <c r="O37" i="5"/>
  <c r="AW31" i="5"/>
  <c r="AV31" i="5"/>
  <c r="AU31" i="5"/>
  <c r="AL31" i="5"/>
  <c r="AK31" i="5"/>
  <c r="AJ31" i="5"/>
  <c r="AW30" i="5"/>
  <c r="AV30" i="5"/>
  <c r="AU30" i="5"/>
  <c r="AL30" i="5"/>
  <c r="AK30" i="5"/>
  <c r="AJ30" i="5"/>
  <c r="V11" i="5"/>
  <c r="V15" i="5"/>
  <c r="AW27" i="5"/>
  <c r="AV27" i="5"/>
  <c r="AU27" i="5"/>
  <c r="AL27" i="5"/>
  <c r="AK27" i="5"/>
  <c r="AJ27" i="5"/>
  <c r="AW26" i="5"/>
  <c r="AV26" i="5"/>
  <c r="AU26" i="5"/>
  <c r="AL26" i="5"/>
  <c r="AK26" i="5"/>
  <c r="AJ26" i="5"/>
  <c r="AW25" i="5"/>
  <c r="AV25" i="5"/>
  <c r="AU25" i="5"/>
  <c r="AT25" i="5"/>
  <c r="AL25" i="5"/>
  <c r="AK25" i="5"/>
  <c r="AJ25" i="5"/>
  <c r="AI25" i="5"/>
  <c r="AW23" i="5"/>
  <c r="AV23" i="5"/>
  <c r="AU23" i="5"/>
  <c r="AL23" i="5"/>
  <c r="AK23" i="5"/>
  <c r="AJ23" i="5"/>
  <c r="AW22" i="5"/>
  <c r="AL22" i="5"/>
  <c r="U11" i="5"/>
  <c r="U15" i="5"/>
  <c r="P156" i="4"/>
  <c r="N156" i="4"/>
  <c r="M156" i="4"/>
  <c r="L156" i="4"/>
  <c r="P154" i="4"/>
  <c r="N154" i="4"/>
  <c r="M154" i="4"/>
  <c r="L154" i="4"/>
  <c r="P151" i="4"/>
  <c r="N151" i="4"/>
  <c r="M151" i="4"/>
  <c r="P150" i="4"/>
  <c r="N150" i="4"/>
  <c r="M150" i="4"/>
  <c r="L150" i="4"/>
  <c r="K150" i="4"/>
  <c r="J150" i="4"/>
  <c r="P149" i="4"/>
  <c r="N149" i="4"/>
  <c r="M149" i="4"/>
  <c r="P147" i="4"/>
  <c r="N147" i="4"/>
  <c r="M147" i="4"/>
  <c r="J147" i="4"/>
  <c r="P144" i="4"/>
  <c r="N144" i="4"/>
  <c r="M144" i="4"/>
  <c r="J131" i="4"/>
  <c r="P130" i="4"/>
  <c r="N130" i="4"/>
  <c r="M130" i="4"/>
  <c r="L130" i="4"/>
  <c r="K130" i="4"/>
  <c r="J130" i="4"/>
  <c r="L128" i="4"/>
  <c r="K128" i="4"/>
  <c r="J128" i="4"/>
  <c r="P121" i="4"/>
  <c r="N121" i="4"/>
  <c r="P120" i="4"/>
  <c r="P136" i="4"/>
  <c r="N120" i="4"/>
  <c r="N136" i="4"/>
  <c r="M120" i="4"/>
  <c r="M136" i="4"/>
  <c r="L120" i="4"/>
  <c r="L136" i="4"/>
  <c r="BH113" i="4"/>
  <c r="BG113" i="4"/>
  <c r="BF113" i="4"/>
  <c r="BE113" i="4"/>
  <c r="BD113" i="4"/>
  <c r="BC113" i="4"/>
  <c r="BB113" i="4"/>
  <c r="BA113" i="4"/>
  <c r="AZ113" i="4"/>
  <c r="AY113" i="4"/>
  <c r="AX113" i="4"/>
  <c r="AV113" i="4"/>
  <c r="AU113" i="4"/>
  <c r="AT113" i="4"/>
  <c r="AS113" i="4"/>
  <c r="AR113" i="4"/>
  <c r="AQ113" i="4"/>
  <c r="AP113" i="4"/>
  <c r="AO113" i="4"/>
  <c r="AN113" i="4"/>
  <c r="AM113" i="4"/>
  <c r="AK113" i="4"/>
  <c r="AJ113" i="4"/>
  <c r="AI113" i="4"/>
  <c r="AH113" i="4"/>
  <c r="AG113" i="4"/>
  <c r="AF113" i="4"/>
  <c r="AE113" i="4"/>
  <c r="AD113" i="4"/>
  <c r="AC113" i="4"/>
  <c r="AB113" i="4"/>
  <c r="AA113" i="4"/>
  <c r="Y113" i="4"/>
  <c r="X113" i="4"/>
  <c r="W113" i="4"/>
  <c r="U113" i="4"/>
  <c r="T113" i="4"/>
  <c r="S113" i="4"/>
  <c r="R113" i="4"/>
  <c r="Q113" i="4"/>
  <c r="P113" i="4"/>
  <c r="O113" i="4"/>
  <c r="N113" i="4"/>
  <c r="M113" i="4"/>
  <c r="L113" i="4"/>
  <c r="K113" i="4"/>
  <c r="O107" i="4"/>
  <c r="BH106" i="4"/>
  <c r="BG106" i="4"/>
  <c r="BF106" i="4"/>
  <c r="BE106" i="4"/>
  <c r="BD106" i="4"/>
  <c r="BC106" i="4"/>
  <c r="BB106" i="4"/>
  <c r="BA106" i="4"/>
  <c r="AZ106" i="4"/>
  <c r="AY106" i="4"/>
  <c r="AX106" i="4"/>
  <c r="AN106" i="4"/>
  <c r="AM106" i="4"/>
  <c r="AL106" i="4"/>
  <c r="AK106" i="4"/>
  <c r="AJ106" i="4"/>
  <c r="AI106" i="4"/>
  <c r="AH106" i="4"/>
  <c r="AG106" i="4"/>
  <c r="AF106" i="4"/>
  <c r="AE106" i="4"/>
  <c r="AD106" i="4"/>
  <c r="AC106" i="4"/>
  <c r="AB106" i="4"/>
  <c r="V106" i="4"/>
  <c r="V40" i="4"/>
  <c r="U106" i="4"/>
  <c r="U40" i="4"/>
  <c r="T106" i="4"/>
  <c r="T40" i="4"/>
  <c r="S40" i="4"/>
  <c r="J106" i="4"/>
  <c r="J40" i="4"/>
  <c r="AW105" i="4"/>
  <c r="AV105" i="4"/>
  <c r="AU105" i="4"/>
  <c r="AT105" i="4"/>
  <c r="AS105" i="4"/>
  <c r="AR105" i="4"/>
  <c r="AQ105" i="4"/>
  <c r="AP105" i="4"/>
  <c r="AO105" i="4"/>
  <c r="AO30" i="4"/>
  <c r="L105" i="4"/>
  <c r="O105" i="4"/>
  <c r="W105" i="4"/>
  <c r="K105" i="4"/>
  <c r="K30" i="4"/>
  <c r="AW104" i="4"/>
  <c r="AV104" i="4"/>
  <c r="AU104" i="4"/>
  <c r="AT104" i="4"/>
  <c r="AS104" i="4"/>
  <c r="AR104" i="4"/>
  <c r="AQ104" i="4"/>
  <c r="O104" i="4"/>
  <c r="W104" i="4"/>
  <c r="K104" i="4"/>
  <c r="X104" i="4"/>
  <c r="AW103" i="4"/>
  <c r="AV103" i="4"/>
  <c r="AU103" i="4"/>
  <c r="AT103" i="4"/>
  <c r="AS103" i="4"/>
  <c r="AR103" i="4"/>
  <c r="AQ103" i="4"/>
  <c r="O103" i="4"/>
  <c r="W103" i="4"/>
  <c r="K103" i="4"/>
  <c r="K8" i="4"/>
  <c r="AW102" i="4"/>
  <c r="AV102" i="4"/>
  <c r="AU102" i="4"/>
  <c r="AT102" i="4"/>
  <c r="AS102" i="4"/>
  <c r="AR102" i="4"/>
  <c r="AQ102" i="4"/>
  <c r="AP102" i="4"/>
  <c r="AP8" i="4"/>
  <c r="AO102" i="4"/>
  <c r="R102" i="4"/>
  <c r="Q102" i="4"/>
  <c r="Q27" i="4"/>
  <c r="P102" i="4"/>
  <c r="N102" i="4"/>
  <c r="N131" i="4"/>
  <c r="M102" i="4"/>
  <c r="M27" i="4"/>
  <c r="L102" i="4"/>
  <c r="L8" i="4"/>
  <c r="AW101" i="4"/>
  <c r="AV101" i="4"/>
  <c r="AU101" i="4"/>
  <c r="AT101" i="4"/>
  <c r="AS101" i="4"/>
  <c r="AR101" i="4"/>
  <c r="AQ101" i="4"/>
  <c r="AP101" i="4"/>
  <c r="AO101" i="4"/>
  <c r="AO10" i="4"/>
  <c r="X101" i="4"/>
  <c r="O101" i="4"/>
  <c r="W101" i="4"/>
  <c r="AW100" i="4"/>
  <c r="AV100" i="4"/>
  <c r="AU100" i="4"/>
  <c r="AT100" i="4"/>
  <c r="X100" i="4"/>
  <c r="O100" i="4"/>
  <c r="AW99" i="4"/>
  <c r="AV99" i="4"/>
  <c r="AU99" i="4"/>
  <c r="AT99" i="4"/>
  <c r="AS99" i="4"/>
  <c r="AR99" i="4"/>
  <c r="AQ99" i="4"/>
  <c r="AP99" i="4"/>
  <c r="AO99" i="4"/>
  <c r="X99" i="4"/>
  <c r="O99" i="4"/>
  <c r="W99" i="4"/>
  <c r="AW98" i="4"/>
  <c r="AV98" i="4"/>
  <c r="AU98" i="4"/>
  <c r="AT98" i="4"/>
  <c r="AT10" i="4"/>
  <c r="AS98" i="4"/>
  <c r="AR98" i="4"/>
  <c r="AQ98" i="4"/>
  <c r="AP98" i="4"/>
  <c r="X98" i="4"/>
  <c r="O98" i="4"/>
  <c r="AW97" i="4"/>
  <c r="AV97" i="4"/>
  <c r="AU97" i="4"/>
  <c r="AT97" i="4"/>
  <c r="AS97" i="4"/>
  <c r="AR97" i="4"/>
  <c r="AQ97" i="4"/>
  <c r="AP97" i="4"/>
  <c r="AO97" i="4"/>
  <c r="X97" i="4"/>
  <c r="O97" i="4"/>
  <c r="AW96" i="4"/>
  <c r="AV96" i="4"/>
  <c r="AU96" i="4"/>
  <c r="AT96" i="4"/>
  <c r="AS96" i="4"/>
  <c r="AR96" i="4"/>
  <c r="AQ96" i="4"/>
  <c r="AP96" i="4"/>
  <c r="AP11" i="4"/>
  <c r="R96" i="4"/>
  <c r="R30" i="4"/>
  <c r="Q96" i="4"/>
  <c r="Q11" i="4"/>
  <c r="P96" i="4"/>
  <c r="P11" i="4"/>
  <c r="M96" i="4"/>
  <c r="M30" i="4"/>
  <c r="AW95" i="4"/>
  <c r="AV95" i="4"/>
  <c r="AU95" i="4"/>
  <c r="AT95" i="4"/>
  <c r="AS95" i="4"/>
  <c r="AR95" i="4"/>
  <c r="AQ95" i="4"/>
  <c r="AP95" i="4"/>
  <c r="AO95" i="4"/>
  <c r="X95" i="4"/>
  <c r="O95" i="4"/>
  <c r="W95" i="4"/>
  <c r="AW94" i="4"/>
  <c r="AV94" i="4"/>
  <c r="AU94" i="4"/>
  <c r="AT94" i="4"/>
  <c r="AS94" i="4"/>
  <c r="AR94" i="4"/>
  <c r="AQ94" i="4"/>
  <c r="AP94" i="4"/>
  <c r="AO94" i="4"/>
  <c r="X94" i="4"/>
  <c r="O94" i="4"/>
  <c r="W94" i="4"/>
  <c r="BH90" i="4"/>
  <c r="BG90" i="4"/>
  <c r="BF90" i="4"/>
  <c r="BE90" i="4"/>
  <c r="BD90" i="4"/>
  <c r="BC90" i="4"/>
  <c r="BB90" i="4"/>
  <c r="BA90" i="4"/>
  <c r="AZ90" i="4"/>
  <c r="AY90" i="4"/>
  <c r="AX90" i="4"/>
  <c r="AN90" i="4"/>
  <c r="AM90" i="4"/>
  <c r="AB90" i="4"/>
  <c r="AW89" i="4"/>
  <c r="AV89" i="4"/>
  <c r="AU89" i="4"/>
  <c r="AT89" i="4"/>
  <c r="AS89" i="4"/>
  <c r="AR89" i="4"/>
  <c r="AQ89" i="4"/>
  <c r="AL89" i="4"/>
  <c r="AK89" i="4"/>
  <c r="AJ89" i="4"/>
  <c r="AI89" i="4"/>
  <c r="AH89" i="4"/>
  <c r="AG89" i="4"/>
  <c r="AF89" i="4"/>
  <c r="O89" i="4"/>
  <c r="W89" i="4"/>
  <c r="K89" i="4"/>
  <c r="X89" i="4"/>
  <c r="AW88" i="4"/>
  <c r="AV88" i="4"/>
  <c r="AU88" i="4"/>
  <c r="AT88" i="4"/>
  <c r="AS88" i="4"/>
  <c r="AR88" i="4"/>
  <c r="AQ88" i="4"/>
  <c r="AP88" i="4"/>
  <c r="AL88" i="4"/>
  <c r="AK88" i="4"/>
  <c r="AJ88" i="4"/>
  <c r="AI88" i="4"/>
  <c r="AH88" i="4"/>
  <c r="AG88" i="4"/>
  <c r="AF88" i="4"/>
  <c r="AE88" i="4"/>
  <c r="X88" i="4"/>
  <c r="O88" i="4"/>
  <c r="W88" i="4"/>
  <c r="AO90" i="4"/>
  <c r="AW87" i="4"/>
  <c r="AV87" i="4"/>
  <c r="AU87" i="4"/>
  <c r="AT87" i="4"/>
  <c r="AS87" i="4"/>
  <c r="AR87" i="4"/>
  <c r="AQ87" i="4"/>
  <c r="AQ6" i="4"/>
  <c r="AP87" i="4"/>
  <c r="AP6" i="4"/>
  <c r="AL87" i="4"/>
  <c r="AK87" i="4"/>
  <c r="AJ87" i="4"/>
  <c r="AI87" i="4"/>
  <c r="AH87" i="4"/>
  <c r="AG87" i="4"/>
  <c r="AF87" i="4"/>
  <c r="AF6" i="4"/>
  <c r="AE87" i="4"/>
  <c r="X87" i="4"/>
  <c r="O87" i="4"/>
  <c r="W87" i="4"/>
  <c r="AC90" i="4"/>
  <c r="BH83" i="4"/>
  <c r="BG83" i="4"/>
  <c r="BF83" i="4"/>
  <c r="BE83" i="4"/>
  <c r="BD83" i="4"/>
  <c r="BC83" i="4"/>
  <c r="BB83" i="4"/>
  <c r="BA83" i="4"/>
  <c r="AZ83" i="4"/>
  <c r="AY83" i="4"/>
  <c r="AX83" i="4"/>
  <c r="AN83" i="4"/>
  <c r="AM83" i="4"/>
  <c r="AC83" i="4"/>
  <c r="AB83" i="4"/>
  <c r="V83" i="4"/>
  <c r="V38" i="4"/>
  <c r="T83" i="4"/>
  <c r="T38" i="4"/>
  <c r="S38" i="4"/>
  <c r="R83" i="4"/>
  <c r="R38" i="4"/>
  <c r="Q83" i="4"/>
  <c r="Q38" i="4"/>
  <c r="P83" i="4"/>
  <c r="P38" i="4"/>
  <c r="N83" i="4"/>
  <c r="N38" i="4"/>
  <c r="J83" i="4"/>
  <c r="J38" i="4"/>
  <c r="X82" i="4"/>
  <c r="W82" i="4"/>
  <c r="AW81" i="4"/>
  <c r="AV81" i="4"/>
  <c r="AU81" i="4"/>
  <c r="AT81" i="4"/>
  <c r="AS81" i="4"/>
  <c r="AR81" i="4"/>
  <c r="AQ81" i="4"/>
  <c r="AP81" i="4"/>
  <c r="AL81" i="4"/>
  <c r="AK81" i="4"/>
  <c r="AJ81" i="4"/>
  <c r="AI81" i="4"/>
  <c r="AH81" i="4"/>
  <c r="AG81" i="4"/>
  <c r="AF81" i="4"/>
  <c r="AE81" i="4"/>
  <c r="M81" i="4"/>
  <c r="M24" i="4"/>
  <c r="L81" i="4"/>
  <c r="L83" i="4"/>
  <c r="L38" i="4"/>
  <c r="K81" i="4"/>
  <c r="K83" i="4"/>
  <c r="K38" i="4"/>
  <c r="AW80" i="4"/>
  <c r="AV80" i="4"/>
  <c r="AU80" i="4"/>
  <c r="AT80" i="4"/>
  <c r="AS80" i="4"/>
  <c r="AR80" i="4"/>
  <c r="AQ80" i="4"/>
  <c r="AP80" i="4"/>
  <c r="AO80" i="4"/>
  <c r="AO83" i="4"/>
  <c r="AL80" i="4"/>
  <c r="AK80" i="4"/>
  <c r="AJ80" i="4"/>
  <c r="AJ83" i="4"/>
  <c r="AI80" i="4"/>
  <c r="AH80" i="4"/>
  <c r="AG80" i="4"/>
  <c r="AF80" i="4"/>
  <c r="AF83" i="4"/>
  <c r="AE80" i="4"/>
  <c r="AD80" i="4"/>
  <c r="AD83" i="4"/>
  <c r="X80" i="4"/>
  <c r="O80" i="4"/>
  <c r="BH77" i="4"/>
  <c r="BG77" i="4"/>
  <c r="BF77" i="4"/>
  <c r="BE77" i="4"/>
  <c r="BD77" i="4"/>
  <c r="BC77" i="4"/>
  <c r="BB77" i="4"/>
  <c r="BA77" i="4"/>
  <c r="AZ77" i="4"/>
  <c r="AY77" i="4"/>
  <c r="AX77" i="4"/>
  <c r="AN77" i="4"/>
  <c r="AM77" i="4"/>
  <c r="AC77" i="4"/>
  <c r="AB77" i="4"/>
  <c r="AA77" i="4"/>
  <c r="Z77" i="4"/>
  <c r="Y77" i="4"/>
  <c r="V77" i="4"/>
  <c r="U77" i="4"/>
  <c r="T77" i="4"/>
  <c r="T108" i="4"/>
  <c r="R77" i="4"/>
  <c r="Q77" i="4"/>
  <c r="P77" i="4"/>
  <c r="M77" i="4"/>
  <c r="K77" i="4"/>
  <c r="J77" i="4"/>
  <c r="AW75" i="4"/>
  <c r="AV75" i="4"/>
  <c r="AU75" i="4"/>
  <c r="AT75" i="4"/>
  <c r="AS75" i="4"/>
  <c r="AL75" i="4"/>
  <c r="AK75" i="4"/>
  <c r="AJ75" i="4"/>
  <c r="AI75" i="4"/>
  <c r="AH75" i="4"/>
  <c r="X75" i="4"/>
  <c r="O75" i="4"/>
  <c r="W75" i="4"/>
  <c r="AW74" i="4"/>
  <c r="AV74" i="4"/>
  <c r="AU74" i="4"/>
  <c r="AT74" i="4"/>
  <c r="AS74" i="4"/>
  <c r="AR74" i="4"/>
  <c r="AQ74" i="4"/>
  <c r="AP74" i="4"/>
  <c r="AL74" i="4"/>
  <c r="AK74" i="4"/>
  <c r="AJ74" i="4"/>
  <c r="AI74" i="4"/>
  <c r="AH74" i="4"/>
  <c r="AG74" i="4"/>
  <c r="AF74" i="4"/>
  <c r="AE74" i="4"/>
  <c r="X74" i="4"/>
  <c r="O74" i="4"/>
  <c r="W74" i="4"/>
  <c r="AW73" i="4"/>
  <c r="AV73" i="4"/>
  <c r="AU73" i="4"/>
  <c r="AT73" i="4"/>
  <c r="AS73" i="4"/>
  <c r="AR73" i="4"/>
  <c r="AQ73" i="4"/>
  <c r="AP73" i="4"/>
  <c r="AL73" i="4"/>
  <c r="AK73" i="4"/>
  <c r="AJ73" i="4"/>
  <c r="AI73" i="4"/>
  <c r="AH73" i="4"/>
  <c r="AG73" i="4"/>
  <c r="AF73" i="4"/>
  <c r="AE73" i="4"/>
  <c r="X73" i="4"/>
  <c r="O73" i="4"/>
  <c r="W73" i="4"/>
  <c r="AW72" i="4"/>
  <c r="AV72" i="4"/>
  <c r="AU72" i="4"/>
  <c r="AT72" i="4"/>
  <c r="AS72" i="4"/>
  <c r="AR72" i="4"/>
  <c r="AQ72" i="4"/>
  <c r="AP72" i="4"/>
  <c r="AL72" i="4"/>
  <c r="AK72" i="4"/>
  <c r="AJ72" i="4"/>
  <c r="AI72" i="4"/>
  <c r="AH72" i="4"/>
  <c r="AG72" i="4"/>
  <c r="AF72" i="4"/>
  <c r="AE72" i="4"/>
  <c r="X72" i="4"/>
  <c r="O72" i="4"/>
  <c r="W72" i="4"/>
  <c r="AW71" i="4"/>
  <c r="AV71" i="4"/>
  <c r="AU71" i="4"/>
  <c r="AT71" i="4"/>
  <c r="AS71" i="4"/>
  <c r="AR71" i="4"/>
  <c r="AQ71" i="4"/>
  <c r="AP71" i="4"/>
  <c r="AO71" i="4"/>
  <c r="AL71" i="4"/>
  <c r="AK71" i="4"/>
  <c r="AJ71" i="4"/>
  <c r="AI71" i="4"/>
  <c r="AH71" i="4"/>
  <c r="AG71" i="4"/>
  <c r="AF71" i="4"/>
  <c r="AE71" i="4"/>
  <c r="AD71" i="4"/>
  <c r="X71" i="4"/>
  <c r="O71" i="4"/>
  <c r="W71" i="4"/>
  <c r="AW69" i="4"/>
  <c r="AV69" i="4"/>
  <c r="AU69" i="4"/>
  <c r="AT69" i="4"/>
  <c r="AS69" i="4"/>
  <c r="AR69" i="4"/>
  <c r="AQ69" i="4"/>
  <c r="AP69" i="4"/>
  <c r="AO69" i="4"/>
  <c r="AO4" i="4"/>
  <c r="AL69" i="4"/>
  <c r="AK69" i="4"/>
  <c r="AJ69" i="4"/>
  <c r="AI69" i="4"/>
  <c r="AH69" i="4"/>
  <c r="AG69" i="4"/>
  <c r="AF69" i="4"/>
  <c r="AE69" i="4"/>
  <c r="AD69" i="4"/>
  <c r="AD4" i="4"/>
  <c r="X69" i="4"/>
  <c r="X4" i="4"/>
  <c r="O69" i="4"/>
  <c r="W69" i="4"/>
  <c r="W4" i="4"/>
  <c r="AW68" i="4"/>
  <c r="AV68" i="4"/>
  <c r="AU68" i="4"/>
  <c r="AT68" i="4"/>
  <c r="AS68" i="4"/>
  <c r="AR68" i="4"/>
  <c r="AQ68" i="4"/>
  <c r="AP68" i="4"/>
  <c r="AO68" i="4"/>
  <c r="AO77" i="4"/>
  <c r="AL68" i="4"/>
  <c r="AK68" i="4"/>
  <c r="AJ68" i="4"/>
  <c r="AI68" i="4"/>
  <c r="AH68" i="4"/>
  <c r="AG68" i="4"/>
  <c r="AF68" i="4"/>
  <c r="AE68" i="4"/>
  <c r="AD68" i="4"/>
  <c r="L68" i="4"/>
  <c r="X68" i="4"/>
  <c r="AW64" i="4"/>
  <c r="AV64" i="4"/>
  <c r="AU64" i="4"/>
  <c r="AT64" i="4"/>
  <c r="AS64" i="4"/>
  <c r="AR64" i="4"/>
  <c r="AQ64" i="4"/>
  <c r="AP64" i="4"/>
  <c r="AO64" i="4"/>
  <c r="AN64" i="4"/>
  <c r="AN24" i="4"/>
  <c r="AL64" i="4"/>
  <c r="AK64" i="4"/>
  <c r="AJ64" i="4"/>
  <c r="AI64" i="4"/>
  <c r="AH64" i="4"/>
  <c r="AG64" i="4"/>
  <c r="AF64" i="4"/>
  <c r="AE64" i="4"/>
  <c r="AD64" i="4"/>
  <c r="AC64" i="4"/>
  <c r="AC24" i="4"/>
  <c r="O64" i="4"/>
  <c r="K64" i="4"/>
  <c r="K156" i="4"/>
  <c r="J64" i="4"/>
  <c r="J156" i="4"/>
  <c r="AW63" i="4"/>
  <c r="AV63" i="4"/>
  <c r="AU63" i="4"/>
  <c r="AT63" i="4"/>
  <c r="AS63" i="4"/>
  <c r="AR63" i="4"/>
  <c r="AQ63" i="4"/>
  <c r="AP63" i="4"/>
  <c r="AO63" i="4"/>
  <c r="AL63" i="4"/>
  <c r="AK63" i="4"/>
  <c r="AJ63" i="4"/>
  <c r="AI63" i="4"/>
  <c r="AH63" i="4"/>
  <c r="AG63" i="4"/>
  <c r="AF63" i="4"/>
  <c r="AE63" i="4"/>
  <c r="AD63" i="4"/>
  <c r="O63" i="4"/>
  <c r="K63" i="4"/>
  <c r="J63" i="4"/>
  <c r="J154" i="4"/>
  <c r="AW62" i="4"/>
  <c r="AV62" i="4"/>
  <c r="AU62" i="4"/>
  <c r="AT62" i="4"/>
  <c r="AS62" i="4"/>
  <c r="AR62" i="4"/>
  <c r="AL62" i="4"/>
  <c r="AK62" i="4"/>
  <c r="AJ62" i="4"/>
  <c r="AI62" i="4"/>
  <c r="AH62" i="4"/>
  <c r="AG62" i="4"/>
  <c r="X62" i="4"/>
  <c r="O62" i="4"/>
  <c r="AW61" i="4"/>
  <c r="AV61" i="4"/>
  <c r="AU61" i="4"/>
  <c r="AT61" i="4"/>
  <c r="AS61" i="4"/>
  <c r="AR61" i="4"/>
  <c r="AL61" i="4"/>
  <c r="AK61" i="4"/>
  <c r="AJ61" i="4"/>
  <c r="AI61" i="4"/>
  <c r="AH61" i="4"/>
  <c r="AG61" i="4"/>
  <c r="L61" i="4"/>
  <c r="K61" i="4"/>
  <c r="K151" i="4"/>
  <c r="J61" i="4"/>
  <c r="J151" i="4"/>
  <c r="AW60" i="4"/>
  <c r="AV60" i="4"/>
  <c r="AU60" i="4"/>
  <c r="AT60" i="4"/>
  <c r="AS60" i="4"/>
  <c r="AL60" i="4"/>
  <c r="AK60" i="4"/>
  <c r="AJ60" i="4"/>
  <c r="AI60" i="4"/>
  <c r="AH60" i="4"/>
  <c r="Q60" i="4"/>
  <c r="Q22" i="4"/>
  <c r="L60" i="4"/>
  <c r="K60" i="4"/>
  <c r="K149" i="4"/>
  <c r="J60" i="4"/>
  <c r="AW59" i="4"/>
  <c r="AV59" i="4"/>
  <c r="AU59" i="4"/>
  <c r="AT59" i="4"/>
  <c r="AS59" i="4"/>
  <c r="AR59" i="4"/>
  <c r="AQ59" i="4"/>
  <c r="AP59" i="4"/>
  <c r="AO59" i="4"/>
  <c r="AL59" i="4"/>
  <c r="AK59" i="4"/>
  <c r="AJ59" i="4"/>
  <c r="AI59" i="4"/>
  <c r="AH59" i="4"/>
  <c r="AG59" i="4"/>
  <c r="AF59" i="4"/>
  <c r="AE59" i="4"/>
  <c r="AD59" i="4"/>
  <c r="L59" i="4"/>
  <c r="L2" i="4"/>
  <c r="K59" i="4"/>
  <c r="X58" i="4"/>
  <c r="O58" i="4"/>
  <c r="W58" i="4"/>
  <c r="AW57" i="4"/>
  <c r="AW58" i="4"/>
  <c r="AV57" i="4"/>
  <c r="AV58" i="4"/>
  <c r="AU57" i="4"/>
  <c r="AU58" i="4"/>
  <c r="AT57" i="4"/>
  <c r="AS57" i="4"/>
  <c r="AS58" i="4"/>
  <c r="AR57" i="4"/>
  <c r="AR58" i="4"/>
  <c r="AQ57" i="4"/>
  <c r="AQ58" i="4"/>
  <c r="AP57" i="4"/>
  <c r="AP58" i="4"/>
  <c r="AO57" i="4"/>
  <c r="AO58" i="4"/>
  <c r="AN57" i="4"/>
  <c r="AN58" i="4"/>
  <c r="AL57" i="4"/>
  <c r="AL58" i="4"/>
  <c r="AK57" i="4"/>
  <c r="AK58" i="4"/>
  <c r="AJ57" i="4"/>
  <c r="AJ58" i="4"/>
  <c r="AI57" i="4"/>
  <c r="AI58" i="4"/>
  <c r="AH57" i="4"/>
  <c r="AH58" i="4"/>
  <c r="AG57" i="4"/>
  <c r="AG58" i="4"/>
  <c r="AF57" i="4"/>
  <c r="AF58" i="4"/>
  <c r="AE57" i="4"/>
  <c r="AE58" i="4"/>
  <c r="AD57" i="4"/>
  <c r="AD58" i="4"/>
  <c r="AC57" i="4"/>
  <c r="M57" i="4"/>
  <c r="M65" i="4"/>
  <c r="K57" i="4"/>
  <c r="AW56" i="4"/>
  <c r="AV56" i="4"/>
  <c r="AU56" i="4"/>
  <c r="AT56" i="4"/>
  <c r="AS56" i="4"/>
  <c r="AR56" i="4"/>
  <c r="AQ56" i="4"/>
  <c r="AP56" i="4"/>
  <c r="AO56" i="4"/>
  <c r="AL56" i="4"/>
  <c r="AK56" i="4"/>
  <c r="AJ56" i="4"/>
  <c r="AI56" i="4"/>
  <c r="AH56" i="4"/>
  <c r="AG56" i="4"/>
  <c r="AF56" i="4"/>
  <c r="AE56" i="4"/>
  <c r="AD56" i="4"/>
  <c r="O56" i="4"/>
  <c r="W56" i="4"/>
  <c r="K56" i="4"/>
  <c r="AW55" i="4"/>
  <c r="AV55" i="4"/>
  <c r="AU55" i="4"/>
  <c r="AT55" i="4"/>
  <c r="AS55" i="4"/>
  <c r="AR55" i="4"/>
  <c r="AQ55" i="4"/>
  <c r="AP55" i="4"/>
  <c r="AO55" i="4"/>
  <c r="AO20" i="4"/>
  <c r="AL55" i="4"/>
  <c r="AK55" i="4"/>
  <c r="AJ55" i="4"/>
  <c r="AI55" i="4"/>
  <c r="AH55" i="4"/>
  <c r="AG55" i="4"/>
  <c r="AF55" i="4"/>
  <c r="AE55" i="4"/>
  <c r="AD55" i="4"/>
  <c r="AD20" i="4"/>
  <c r="O55" i="4"/>
  <c r="W55" i="4"/>
  <c r="W20" i="4"/>
  <c r="K55" i="4"/>
  <c r="K20" i="4"/>
  <c r="J55" i="4"/>
  <c r="AW54" i="4"/>
  <c r="AV54" i="4"/>
  <c r="AU54" i="4"/>
  <c r="AT54" i="4"/>
  <c r="AS54" i="4"/>
  <c r="AR54" i="4"/>
  <c r="AL54" i="4"/>
  <c r="AK54" i="4"/>
  <c r="AJ54" i="4"/>
  <c r="AI54" i="4"/>
  <c r="AH54" i="4"/>
  <c r="AG54" i="4"/>
  <c r="X54" i="4"/>
  <c r="O54" i="4"/>
  <c r="W54" i="4"/>
  <c r="AW53" i="4"/>
  <c r="AV53" i="4"/>
  <c r="AU53" i="4"/>
  <c r="AT53" i="4"/>
  <c r="AS53" i="4"/>
  <c r="AR53" i="4"/>
  <c r="AL53" i="4"/>
  <c r="AK53" i="4"/>
  <c r="AJ53" i="4"/>
  <c r="AI53" i="4"/>
  <c r="AH53" i="4"/>
  <c r="AG53" i="4"/>
  <c r="X53" i="4"/>
  <c r="O53" i="4"/>
  <c r="W53" i="4"/>
  <c r="W6" i="4"/>
  <c r="X52" i="4"/>
  <c r="O52" i="4"/>
  <c r="W52" i="4"/>
  <c r="X51" i="4"/>
  <c r="O51" i="4"/>
  <c r="W51" i="4"/>
  <c r="AW50" i="4"/>
  <c r="AV50" i="4"/>
  <c r="AU50" i="4"/>
  <c r="AT50" i="4"/>
  <c r="AS50" i="4"/>
  <c r="AR50" i="4"/>
  <c r="AQ50" i="4"/>
  <c r="AP50" i="4"/>
  <c r="AO50" i="4"/>
  <c r="AN50" i="4"/>
  <c r="AL50" i="4"/>
  <c r="AK50" i="4"/>
  <c r="AJ50" i="4"/>
  <c r="AI50" i="4"/>
  <c r="AH50" i="4"/>
  <c r="AG50" i="4"/>
  <c r="AF50" i="4"/>
  <c r="AE50" i="4"/>
  <c r="AD50" i="4"/>
  <c r="AC50" i="4"/>
  <c r="X50" i="4"/>
  <c r="O50" i="4"/>
  <c r="W50" i="4"/>
  <c r="AW49" i="4"/>
  <c r="AV49" i="4"/>
  <c r="AU49" i="4"/>
  <c r="AT49" i="4"/>
  <c r="AL49" i="4"/>
  <c r="AK49" i="4"/>
  <c r="AJ49" i="4"/>
  <c r="AI49" i="4"/>
  <c r="Q49" i="4"/>
  <c r="Q18" i="4"/>
  <c r="O49" i="4"/>
  <c r="AW45" i="4"/>
  <c r="AV45" i="4"/>
  <c r="AU45" i="4"/>
  <c r="AT45" i="4"/>
  <c r="AS45" i="4"/>
  <c r="AR45" i="4"/>
  <c r="AQ45" i="4"/>
  <c r="AL45" i="4"/>
  <c r="AK45" i="4"/>
  <c r="AJ45" i="4"/>
  <c r="AI45" i="4"/>
  <c r="AH45" i="4"/>
  <c r="AG45" i="4"/>
  <c r="AF45" i="4"/>
  <c r="X45" i="4"/>
  <c r="X36" i="4"/>
  <c r="O45" i="4"/>
  <c r="W45" i="4"/>
  <c r="W36" i="4"/>
  <c r="BH30" i="4"/>
  <c r="BG30" i="4"/>
  <c r="BF30" i="4"/>
  <c r="BE30" i="4"/>
  <c r="BD30" i="4"/>
  <c r="BC30" i="4"/>
  <c r="BB30" i="4"/>
  <c r="BA30" i="4"/>
  <c r="AZ30" i="4"/>
  <c r="AY30" i="4"/>
  <c r="AX30" i="4"/>
  <c r="AN30" i="4"/>
  <c r="AM30" i="4"/>
  <c r="AL30" i="4"/>
  <c r="AK30" i="4"/>
  <c r="AJ30" i="4"/>
  <c r="AI30" i="4"/>
  <c r="AH30" i="4"/>
  <c r="AG30" i="4"/>
  <c r="AF30" i="4"/>
  <c r="AE30" i="4"/>
  <c r="AD30" i="4"/>
  <c r="AC30" i="4"/>
  <c r="AB30" i="4"/>
  <c r="BH29" i="4"/>
  <c r="BG29" i="4"/>
  <c r="BF29" i="4"/>
  <c r="BE29" i="4"/>
  <c r="BD29" i="4"/>
  <c r="BC29" i="4"/>
  <c r="BB29" i="4"/>
  <c r="BA29" i="4"/>
  <c r="AZ29" i="4"/>
  <c r="AY29" i="4"/>
  <c r="AX29" i="4"/>
  <c r="AN29" i="4"/>
  <c r="AM29" i="4"/>
  <c r="AL29" i="4"/>
  <c r="AK29" i="4"/>
  <c r="AJ29" i="4"/>
  <c r="AI29" i="4"/>
  <c r="AH29" i="4"/>
  <c r="AG29" i="4"/>
  <c r="AF29" i="4"/>
  <c r="AE29" i="4"/>
  <c r="AD29" i="4"/>
  <c r="AC29" i="4"/>
  <c r="AB29" i="4"/>
  <c r="V29" i="4"/>
  <c r="U29" i="4"/>
  <c r="T29" i="4"/>
  <c r="S29" i="4"/>
  <c r="R29" i="4"/>
  <c r="Q29" i="4"/>
  <c r="P29" i="4"/>
  <c r="N29" i="4"/>
  <c r="M29" i="4"/>
  <c r="L29" i="4"/>
  <c r="BH28" i="4"/>
  <c r="BG28" i="4"/>
  <c r="BF28" i="4"/>
  <c r="BE28" i="4"/>
  <c r="BD28" i="4"/>
  <c r="BC28" i="4"/>
  <c r="BB28" i="4"/>
  <c r="BA28" i="4"/>
  <c r="AZ28" i="4"/>
  <c r="AY28" i="4"/>
  <c r="AX28" i="4"/>
  <c r="AN28" i="4"/>
  <c r="AM28" i="4"/>
  <c r="AL28" i="4"/>
  <c r="AK28" i="4"/>
  <c r="AJ28" i="4"/>
  <c r="AI28" i="4"/>
  <c r="AH28" i="4"/>
  <c r="AG28" i="4"/>
  <c r="AF28" i="4"/>
  <c r="AE28" i="4"/>
  <c r="AD28" i="4"/>
  <c r="AC28" i="4"/>
  <c r="AB28" i="4"/>
  <c r="V28" i="4"/>
  <c r="U28" i="4"/>
  <c r="T28" i="4"/>
  <c r="S28" i="4"/>
  <c r="R28" i="4"/>
  <c r="Q28" i="4"/>
  <c r="P28" i="4"/>
  <c r="N28" i="4"/>
  <c r="M28" i="4"/>
  <c r="L28" i="4"/>
  <c r="K28" i="4"/>
  <c r="BH27" i="4"/>
  <c r="BG27" i="4"/>
  <c r="BF27" i="4"/>
  <c r="BE27" i="4"/>
  <c r="BD27" i="4"/>
  <c r="BC27" i="4"/>
  <c r="BB27" i="4"/>
  <c r="BA27" i="4"/>
  <c r="AZ27" i="4"/>
  <c r="AY27" i="4"/>
  <c r="AX27" i="4"/>
  <c r="AN27" i="4"/>
  <c r="AM27" i="4"/>
  <c r="AL27" i="4"/>
  <c r="AK27" i="4"/>
  <c r="AJ27" i="4"/>
  <c r="AI27" i="4"/>
  <c r="AH27" i="4"/>
  <c r="AG27" i="4"/>
  <c r="AF27" i="4"/>
  <c r="AE27" i="4"/>
  <c r="AD27" i="4"/>
  <c r="AC27" i="4"/>
  <c r="AB27" i="4"/>
  <c r="V27" i="4"/>
  <c r="U27" i="4"/>
  <c r="T27" i="4"/>
  <c r="S27" i="4"/>
  <c r="K27" i="4"/>
  <c r="BH24" i="4"/>
  <c r="BG24" i="4"/>
  <c r="BF24" i="4"/>
  <c r="BE24" i="4"/>
  <c r="BD24" i="4"/>
  <c r="BC24" i="4"/>
  <c r="BB24" i="4"/>
  <c r="BA24" i="4"/>
  <c r="AZ24" i="4"/>
  <c r="AY24" i="4"/>
  <c r="AX24" i="4"/>
  <c r="AM24" i="4"/>
  <c r="AB24" i="4"/>
  <c r="V24" i="4"/>
  <c r="U24" i="4"/>
  <c r="T24" i="4"/>
  <c r="S24" i="4"/>
  <c r="R24" i="4"/>
  <c r="Q24" i="4"/>
  <c r="P24" i="4"/>
  <c r="N24" i="4"/>
  <c r="BH22" i="4"/>
  <c r="BG22" i="4"/>
  <c r="BF22" i="4"/>
  <c r="BE22" i="4"/>
  <c r="BD22" i="4"/>
  <c r="BC22" i="4"/>
  <c r="BB22" i="4"/>
  <c r="BA22" i="4"/>
  <c r="AZ22" i="4"/>
  <c r="AY22" i="4"/>
  <c r="AX22" i="4"/>
  <c r="AM22" i="4"/>
  <c r="AB22" i="4"/>
  <c r="BH20" i="4"/>
  <c r="BG20" i="4"/>
  <c r="BF20" i="4"/>
  <c r="BE20" i="4"/>
  <c r="BD20" i="4"/>
  <c r="BC20" i="4"/>
  <c r="BB20" i="4"/>
  <c r="BA20" i="4"/>
  <c r="AZ20" i="4"/>
  <c r="AY20" i="4"/>
  <c r="AX20" i="4"/>
  <c r="AN20" i="4"/>
  <c r="AM20" i="4"/>
  <c r="AC20" i="4"/>
  <c r="AB20" i="4"/>
  <c r="BH18" i="4"/>
  <c r="BG18" i="4"/>
  <c r="BF18" i="4"/>
  <c r="BE18" i="4"/>
  <c r="BD18" i="4"/>
  <c r="BC18" i="4"/>
  <c r="BB18" i="4"/>
  <c r="BA18" i="4"/>
  <c r="AZ18" i="4"/>
  <c r="AY18" i="4"/>
  <c r="AX18" i="4"/>
  <c r="AM18" i="4"/>
  <c r="AB18" i="4"/>
  <c r="BH12" i="4"/>
  <c r="BG12" i="4"/>
  <c r="BF12" i="4"/>
  <c r="BE12" i="4"/>
  <c r="BD12" i="4"/>
  <c r="BC12" i="4"/>
  <c r="BB12" i="4"/>
  <c r="BA12" i="4"/>
  <c r="AZ12" i="4"/>
  <c r="AY12" i="4"/>
  <c r="AX12" i="4"/>
  <c r="AU12" i="4"/>
  <c r="AT12" i="4"/>
  <c r="AS12" i="4"/>
  <c r="AR12" i="4"/>
  <c r="AQ12" i="4"/>
  <c r="AP12" i="4"/>
  <c r="AO12" i="4"/>
  <c r="AN12" i="4"/>
  <c r="AM12" i="4"/>
  <c r="AL12" i="4"/>
  <c r="AK12" i="4"/>
  <c r="AJ12" i="4"/>
  <c r="AI12" i="4"/>
  <c r="AH12" i="4"/>
  <c r="AG12" i="4"/>
  <c r="AF12" i="4"/>
  <c r="AE12" i="4"/>
  <c r="AD12" i="4"/>
  <c r="AC12" i="4"/>
  <c r="AB12" i="4"/>
  <c r="BH11" i="4"/>
  <c r="BG11" i="4"/>
  <c r="BF11" i="4"/>
  <c r="BE11" i="4"/>
  <c r="BD11" i="4"/>
  <c r="BC11" i="4"/>
  <c r="BB11" i="4"/>
  <c r="BA11" i="4"/>
  <c r="AZ11" i="4"/>
  <c r="AY11" i="4"/>
  <c r="AX11" i="4"/>
  <c r="AO11" i="4"/>
  <c r="AN11" i="4"/>
  <c r="AM11" i="4"/>
  <c r="AL11" i="4"/>
  <c r="AK11" i="4"/>
  <c r="AJ11" i="4"/>
  <c r="AI11" i="4"/>
  <c r="AH11" i="4"/>
  <c r="AG11" i="4"/>
  <c r="AF11" i="4"/>
  <c r="AE11" i="4"/>
  <c r="AD11" i="4"/>
  <c r="AC11" i="4"/>
  <c r="AB11" i="4"/>
  <c r="V11" i="4"/>
  <c r="U11" i="4"/>
  <c r="T11" i="4"/>
  <c r="S11" i="4"/>
  <c r="L11" i="4"/>
  <c r="K11" i="4"/>
  <c r="BH10" i="4"/>
  <c r="BG10" i="4"/>
  <c r="BF10" i="4"/>
  <c r="BE10" i="4"/>
  <c r="BD10" i="4"/>
  <c r="BC10" i="4"/>
  <c r="BB10" i="4"/>
  <c r="BA10" i="4"/>
  <c r="AZ10" i="4"/>
  <c r="AY10" i="4"/>
  <c r="AX10" i="4"/>
  <c r="AN10" i="4"/>
  <c r="AM10" i="4"/>
  <c r="AL10" i="4"/>
  <c r="AK10" i="4"/>
  <c r="AJ10" i="4"/>
  <c r="AI10" i="4"/>
  <c r="AH10" i="4"/>
  <c r="AG10" i="4"/>
  <c r="AF10" i="4"/>
  <c r="AE10" i="4"/>
  <c r="AD10" i="4"/>
  <c r="AC10" i="4"/>
  <c r="AB10" i="4"/>
  <c r="V10" i="4"/>
  <c r="U10" i="4"/>
  <c r="T10" i="4"/>
  <c r="S10" i="4"/>
  <c r="R10" i="4"/>
  <c r="Q10" i="4"/>
  <c r="P10" i="4"/>
  <c r="N10" i="4"/>
  <c r="M10" i="4"/>
  <c r="L10" i="4"/>
  <c r="K10" i="4"/>
  <c r="BH9" i="4"/>
  <c r="BG9" i="4"/>
  <c r="BF9" i="4"/>
  <c r="BE9" i="4"/>
  <c r="BD9" i="4"/>
  <c r="BC9" i="4"/>
  <c r="BB9" i="4"/>
  <c r="BA9" i="4"/>
  <c r="AZ9" i="4"/>
  <c r="AY9" i="4"/>
  <c r="AX9" i="4"/>
  <c r="AN9" i="4"/>
  <c r="AM9" i="4"/>
  <c r="AL9" i="4"/>
  <c r="AK9" i="4"/>
  <c r="AJ9" i="4"/>
  <c r="AI9" i="4"/>
  <c r="AH9" i="4"/>
  <c r="AG9" i="4"/>
  <c r="AF9" i="4"/>
  <c r="AE9" i="4"/>
  <c r="AD9" i="4"/>
  <c r="AC9" i="4"/>
  <c r="AB9" i="4"/>
  <c r="V9" i="4"/>
  <c r="U9" i="4"/>
  <c r="T9" i="4"/>
  <c r="S9" i="4"/>
  <c r="R9" i="4"/>
  <c r="Q9" i="4"/>
  <c r="P9" i="4"/>
  <c r="N9" i="4"/>
  <c r="M9" i="4"/>
  <c r="BH8" i="4"/>
  <c r="BG8" i="4"/>
  <c r="BF8" i="4"/>
  <c r="BE8" i="4"/>
  <c r="BD8" i="4"/>
  <c r="BC8" i="4"/>
  <c r="BB8" i="4"/>
  <c r="BA8" i="4"/>
  <c r="AZ8" i="4"/>
  <c r="AY8" i="4"/>
  <c r="AX8" i="4"/>
  <c r="AN8" i="4"/>
  <c r="AM8" i="4"/>
  <c r="AL8" i="4"/>
  <c r="AK8" i="4"/>
  <c r="AJ8" i="4"/>
  <c r="AI8" i="4"/>
  <c r="AH8" i="4"/>
  <c r="AG8" i="4"/>
  <c r="AF8" i="4"/>
  <c r="AE8" i="4"/>
  <c r="AD8" i="4"/>
  <c r="AC8" i="4"/>
  <c r="AB8" i="4"/>
  <c r="V8" i="4"/>
  <c r="U8" i="4"/>
  <c r="T8" i="4"/>
  <c r="S8" i="4"/>
  <c r="BH6" i="4"/>
  <c r="BG6" i="4"/>
  <c r="BF6" i="4"/>
  <c r="BE6" i="4"/>
  <c r="BD6" i="4"/>
  <c r="BC6" i="4"/>
  <c r="BB6" i="4"/>
  <c r="BA6" i="4"/>
  <c r="AZ6" i="4"/>
  <c r="AY6" i="4"/>
  <c r="AX6" i="4"/>
  <c r="AO6" i="4"/>
  <c r="AN6" i="4"/>
  <c r="AM6" i="4"/>
  <c r="AD6" i="4"/>
  <c r="AC6" i="4"/>
  <c r="AB6" i="4"/>
  <c r="BH5" i="4"/>
  <c r="BG5" i="4"/>
  <c r="BF5" i="4"/>
  <c r="BE5" i="4"/>
  <c r="BD5" i="4"/>
  <c r="BC5" i="4"/>
  <c r="BB5" i="4"/>
  <c r="BA5" i="4"/>
  <c r="AZ5" i="4"/>
  <c r="AY5" i="4"/>
  <c r="AX5" i="4"/>
  <c r="AT5" i="4"/>
  <c r="AS5" i="4"/>
  <c r="AR5" i="4"/>
  <c r="AQ5" i="4"/>
  <c r="AP5" i="4"/>
  <c r="AO5" i="4"/>
  <c r="AN5" i="4"/>
  <c r="AM5" i="4"/>
  <c r="AI5" i="4"/>
  <c r="AH5" i="4"/>
  <c r="AG5" i="4"/>
  <c r="AF5" i="4"/>
  <c r="AE5" i="4"/>
  <c r="AD5" i="4"/>
  <c r="AC5" i="4"/>
  <c r="AB5" i="4"/>
  <c r="BH4" i="4"/>
  <c r="BG4" i="4"/>
  <c r="BF4" i="4"/>
  <c r="BE4" i="4"/>
  <c r="BD4" i="4"/>
  <c r="BC4" i="4"/>
  <c r="BB4" i="4"/>
  <c r="BA4" i="4"/>
  <c r="AZ4" i="4"/>
  <c r="AY4" i="4"/>
  <c r="AX4" i="4"/>
  <c r="AN4" i="4"/>
  <c r="AM4" i="4"/>
  <c r="AC4" i="4"/>
  <c r="AB4" i="4"/>
  <c r="BH3" i="4"/>
  <c r="BG3" i="4"/>
  <c r="BF3" i="4"/>
  <c r="BE3" i="4"/>
  <c r="BD3" i="4"/>
  <c r="BC3" i="4"/>
  <c r="BB3" i="4"/>
  <c r="BA3" i="4"/>
  <c r="AZ3" i="4"/>
  <c r="AY3" i="4"/>
  <c r="AX3" i="4"/>
  <c r="AN3" i="4"/>
  <c r="AM3" i="4"/>
  <c r="AC3" i="4"/>
  <c r="AB3" i="4"/>
  <c r="BH2" i="4"/>
  <c r="BG2" i="4"/>
  <c r="BF2" i="4"/>
  <c r="BE2" i="4"/>
  <c r="BD2" i="4"/>
  <c r="BC2" i="4"/>
  <c r="BB2" i="4"/>
  <c r="BA2" i="4"/>
  <c r="AZ2" i="4"/>
  <c r="AY2" i="4"/>
  <c r="AX2" i="4"/>
  <c r="AM2" i="4"/>
  <c r="AB2" i="4"/>
  <c r="L3" i="4"/>
  <c r="T37" i="4"/>
  <c r="Q30" i="4"/>
  <c r="Q31" i="4"/>
  <c r="Y37" i="4"/>
  <c r="Y41" i="4"/>
  <c r="Y42" i="4"/>
  <c r="X6" i="4"/>
  <c r="L22" i="4"/>
  <c r="V108" i="4"/>
  <c r="S37" i="4"/>
  <c r="L18" i="4"/>
  <c r="U37" i="4"/>
  <c r="P37" i="4"/>
  <c r="O36" i="4"/>
  <c r="M16" i="5"/>
  <c r="L7" i="4"/>
  <c r="U41" i="4"/>
  <c r="S41" i="4"/>
  <c r="S42" i="4"/>
  <c r="T41" i="4"/>
  <c r="U108" i="4"/>
  <c r="J11" i="5"/>
  <c r="J15" i="5"/>
  <c r="J72" i="5"/>
  <c r="L65" i="4"/>
  <c r="L106" i="4"/>
  <c r="L40" i="4"/>
  <c r="V37" i="4"/>
  <c r="V41" i="4"/>
  <c r="R37" i="4"/>
  <c r="O20" i="4"/>
  <c r="S11" i="5"/>
  <c r="S13" i="5"/>
  <c r="S15" i="5"/>
  <c r="L77" i="4"/>
  <c r="M2" i="4"/>
  <c r="M37" i="4"/>
  <c r="P30" i="4"/>
  <c r="L30" i="4"/>
  <c r="U72" i="5"/>
  <c r="U16" i="5"/>
  <c r="K2" i="4"/>
  <c r="Q3" i="4"/>
  <c r="K72" i="5"/>
  <c r="X90" i="4"/>
  <c r="X39" i="4"/>
  <c r="O67" i="5"/>
  <c r="O13" i="5"/>
  <c r="O6" i="4"/>
  <c r="O4" i="4"/>
  <c r="M22" i="4"/>
  <c r="V72" i="5"/>
  <c r="N16" i="5"/>
  <c r="W66" i="5"/>
  <c r="W70" i="5"/>
  <c r="O71" i="5"/>
  <c r="W50" i="5"/>
  <c r="W57" i="5"/>
  <c r="X71" i="5"/>
  <c r="W59" i="5"/>
  <c r="W41" i="5"/>
  <c r="O47" i="5"/>
  <c r="O12" i="5"/>
  <c r="W37" i="5"/>
  <c r="W38" i="5"/>
  <c r="O38" i="5"/>
  <c r="X47" i="5"/>
  <c r="X12" i="5"/>
  <c r="J120" i="4"/>
  <c r="J136" i="4"/>
  <c r="T42" i="4"/>
  <c r="K22" i="4"/>
  <c r="K3" i="4"/>
  <c r="W90" i="4"/>
  <c r="W39" i="4"/>
  <c r="AS10" i="4"/>
  <c r="AW10" i="4"/>
  <c r="K90" i="4"/>
  <c r="K39" i="4"/>
  <c r="AR10" i="4"/>
  <c r="AV10" i="4"/>
  <c r="O90" i="4"/>
  <c r="O39" i="4"/>
  <c r="AQ10" i="4"/>
  <c r="AU10" i="4"/>
  <c r="X63" i="5"/>
  <c r="X67" i="5"/>
  <c r="X13" i="5"/>
  <c r="W63" i="5"/>
  <c r="Q65" i="4"/>
  <c r="AJ65" i="4"/>
  <c r="AU65" i="4"/>
  <c r="AF65" i="4"/>
  <c r="AL65" i="4"/>
  <c r="AD65" i="4"/>
  <c r="AQ65" i="4"/>
  <c r="AH65" i="4"/>
  <c r="AV65" i="4"/>
  <c r="AI65" i="4"/>
  <c r="AE65" i="4"/>
  <c r="AN65" i="4"/>
  <c r="AN108" i="4"/>
  <c r="AR65" i="4"/>
  <c r="AG65" i="4"/>
  <c r="AK65" i="4"/>
  <c r="AP65" i="4"/>
  <c r="AW65" i="4"/>
  <c r="AS65" i="4"/>
  <c r="AO65" i="4"/>
  <c r="AU11" i="4"/>
  <c r="AO28" i="4"/>
  <c r="AH83" i="4"/>
  <c r="V7" i="4"/>
  <c r="W11" i="5"/>
  <c r="AQ4" i="4"/>
  <c r="AR28" i="4"/>
  <c r="AR27" i="4"/>
  <c r="AT24" i="4"/>
  <c r="AP18" i="4"/>
  <c r="AP29" i="4"/>
  <c r="AQ27" i="4"/>
  <c r="AU27" i="4"/>
  <c r="AT8" i="4"/>
  <c r="AP30" i="4"/>
  <c r="AE6" i="4"/>
  <c r="R8" i="4"/>
  <c r="X10" i="4"/>
  <c r="AW8" i="4"/>
  <c r="S31" i="4"/>
  <c r="AB31" i="4"/>
  <c r="AF31" i="4"/>
  <c r="AJ31" i="4"/>
  <c r="AN31" i="4"/>
  <c r="AV20" i="4"/>
  <c r="AG20" i="4"/>
  <c r="AK5" i="4"/>
  <c r="AW28" i="4"/>
  <c r="AR20" i="4"/>
  <c r="AW77" i="4"/>
  <c r="AS4" i="4"/>
  <c r="AT11" i="4"/>
  <c r="AP28" i="4"/>
  <c r="AS8" i="4"/>
  <c r="N8" i="4"/>
  <c r="L9" i="4"/>
  <c r="L13" i="4"/>
  <c r="AQ20" i="4"/>
  <c r="AV6" i="4"/>
  <c r="AW22" i="4"/>
  <c r="O59" i="4"/>
  <c r="W59" i="4"/>
  <c r="K152" i="4"/>
  <c r="AR3" i="4"/>
  <c r="AR83" i="4"/>
  <c r="AV83" i="4"/>
  <c r="AS28" i="4"/>
  <c r="AF20" i="4"/>
  <c r="U7" i="4"/>
  <c r="AP22" i="4"/>
  <c r="AO24" i="4"/>
  <c r="AR4" i="4"/>
  <c r="AG4" i="4"/>
  <c r="AY25" i="4"/>
  <c r="BC25" i="4"/>
  <c r="BG25" i="4"/>
  <c r="L27" i="4"/>
  <c r="L149" i="4"/>
  <c r="O60" i="4"/>
  <c r="O149" i="4"/>
  <c r="AS83" i="4"/>
  <c r="AF18" i="4"/>
  <c r="M7" i="4"/>
  <c r="AD18" i="4"/>
  <c r="AK6" i="4"/>
  <c r="AE3" i="4"/>
  <c r="N7" i="4"/>
  <c r="AI3" i="4"/>
  <c r="K24" i="4"/>
  <c r="BH108" i="4"/>
  <c r="AT9" i="4"/>
  <c r="AS29" i="4"/>
  <c r="P8" i="4"/>
  <c r="P13" i="4"/>
  <c r="P27" i="4"/>
  <c r="AJ2" i="4"/>
  <c r="AE20" i="4"/>
  <c r="AI20" i="4"/>
  <c r="AO22" i="4"/>
  <c r="AJ3" i="4"/>
  <c r="AH3" i="4"/>
  <c r="AS3" i="4"/>
  <c r="AD24" i="4"/>
  <c r="AH24" i="4"/>
  <c r="AL24" i="4"/>
  <c r="AR24" i="4"/>
  <c r="AV24" i="4"/>
  <c r="AF24" i="4"/>
  <c r="AJ24" i="4"/>
  <c r="AS24" i="4"/>
  <c r="AW24" i="4"/>
  <c r="AX108" i="4"/>
  <c r="BB108" i="4"/>
  <c r="BF108" i="4"/>
  <c r="AG77" i="4"/>
  <c r="AK77" i="4"/>
  <c r="AU77" i="4"/>
  <c r="AF4" i="4"/>
  <c r="AP4" i="4"/>
  <c r="AT4" i="4"/>
  <c r="AF3" i="4"/>
  <c r="AP3" i="4"/>
  <c r="AE4" i="4"/>
  <c r="AI4" i="4"/>
  <c r="AK4" i="4"/>
  <c r="AP83" i="4"/>
  <c r="AT83" i="4"/>
  <c r="AV28" i="4"/>
  <c r="AD13" i="4"/>
  <c r="AH13" i="4"/>
  <c r="AL13" i="4"/>
  <c r="AS9" i="4"/>
  <c r="R27" i="4"/>
  <c r="AH6" i="4"/>
  <c r="AP20" i="4"/>
  <c r="AT20" i="4"/>
  <c r="AK24" i="4"/>
  <c r="AT18" i="4"/>
  <c r="AH20" i="4"/>
  <c r="AW4" i="4"/>
  <c r="AS30" i="4"/>
  <c r="AP27" i="4"/>
  <c r="AT27" i="4"/>
  <c r="AU29" i="4"/>
  <c r="AQ77" i="4"/>
  <c r="AQ3" i="4"/>
  <c r="AJ4" i="4"/>
  <c r="AV4" i="4"/>
  <c r="AB7" i="4"/>
  <c r="AS2" i="4"/>
  <c r="Q7" i="4"/>
  <c r="X49" i="4"/>
  <c r="X18" i="4"/>
  <c r="BC13" i="4"/>
  <c r="AW6" i="4"/>
  <c r="W28" i="4"/>
  <c r="BE7" i="4"/>
  <c r="V13" i="4"/>
  <c r="AM13" i="4"/>
  <c r="AU8" i="4"/>
  <c r="T13" i="4"/>
  <c r="AP9" i="4"/>
  <c r="AP10" i="4"/>
  <c r="AS11" i="4"/>
  <c r="AC18" i="4"/>
  <c r="L24" i="4"/>
  <c r="O28" i="4"/>
  <c r="AU30" i="4"/>
  <c r="AW5" i="4"/>
  <c r="AG6" i="4"/>
  <c r="AK20" i="4"/>
  <c r="AE24" i="4"/>
  <c r="AG24" i="4"/>
  <c r="AD77" i="4"/>
  <c r="AQ83" i="4"/>
  <c r="AU83" i="4"/>
  <c r="AL18" i="4"/>
  <c r="AS6" i="4"/>
  <c r="AD3" i="4"/>
  <c r="O96" i="4"/>
  <c r="AT30" i="4"/>
  <c r="O9" i="4"/>
  <c r="AV9" i="4"/>
  <c r="P137" i="4"/>
  <c r="P152" i="4"/>
  <c r="P157" i="4"/>
  <c r="P159" i="4"/>
  <c r="AR18" i="4"/>
  <c r="S13" i="4"/>
  <c r="AT28" i="4"/>
  <c r="AW3" i="4"/>
  <c r="AL6" i="4"/>
  <c r="AL4" i="4"/>
  <c r="AS20" i="4"/>
  <c r="AW20" i="4"/>
  <c r="AE22" i="4"/>
  <c r="AR2" i="4"/>
  <c r="AP24" i="4"/>
  <c r="M11" i="4"/>
  <c r="AL20" i="4"/>
  <c r="N27" i="4"/>
  <c r="U31" i="4"/>
  <c r="AK3" i="4"/>
  <c r="W49" i="4"/>
  <c r="AN18" i="4"/>
  <c r="AU5" i="4"/>
  <c r="AR6" i="4"/>
  <c r="AJ6" i="4"/>
  <c r="AU6" i="4"/>
  <c r="AU20" i="4"/>
  <c r="AF2" i="4"/>
  <c r="AJ20" i="4"/>
  <c r="AJ5" i="4"/>
  <c r="AV5" i="4"/>
  <c r="AG22" i="4"/>
  <c r="AK22" i="4"/>
  <c r="AQ22" i="4"/>
  <c r="AF22" i="4"/>
  <c r="L119" i="4"/>
  <c r="L135" i="4"/>
  <c r="AE83" i="4"/>
  <c r="AI83" i="4"/>
  <c r="AW83" i="4"/>
  <c r="AR30" i="4"/>
  <c r="AO9" i="4"/>
  <c r="AQ29" i="4"/>
  <c r="AT29" i="4"/>
  <c r="AV27" i="4"/>
  <c r="M152" i="4"/>
  <c r="M157" i="4"/>
  <c r="M159" i="4"/>
  <c r="AQ9" i="4"/>
  <c r="AQ28" i="4"/>
  <c r="R11" i="4"/>
  <c r="AW30" i="4"/>
  <c r="AW11" i="4"/>
  <c r="M31" i="4"/>
  <c r="R106" i="4"/>
  <c r="R40" i="4"/>
  <c r="R41" i="4"/>
  <c r="AN2" i="4"/>
  <c r="AN7" i="4"/>
  <c r="BA13" i="4"/>
  <c r="BE13" i="4"/>
  <c r="K9" i="4"/>
  <c r="K13" i="4"/>
  <c r="R25" i="4"/>
  <c r="AO18" i="4"/>
  <c r="AI22" i="4"/>
  <c r="AE31" i="4"/>
  <c r="AI31" i="4"/>
  <c r="AM31" i="4"/>
  <c r="AZ31" i="4"/>
  <c r="BD31" i="4"/>
  <c r="BH31" i="4"/>
  <c r="K29" i="4"/>
  <c r="K31" i="4"/>
  <c r="O29" i="4"/>
  <c r="AC58" i="4"/>
  <c r="AT58" i="4"/>
  <c r="AT2" i="4"/>
  <c r="AG3" i="4"/>
  <c r="AI24" i="4"/>
  <c r="AH77" i="4"/>
  <c r="AL77" i="4"/>
  <c r="AR77" i="4"/>
  <c r="AV77" i="4"/>
  <c r="AS77" i="4"/>
  <c r="N119" i="4"/>
  <c r="AK18" i="4"/>
  <c r="X28" i="4"/>
  <c r="AR9" i="4"/>
  <c r="W98" i="4"/>
  <c r="W10" i="4"/>
  <c r="O10" i="4"/>
  <c r="N122" i="4"/>
  <c r="N138" i="4"/>
  <c r="AN13" i="4"/>
  <c r="BD13" i="4"/>
  <c r="AE18" i="4"/>
  <c r="AV2" i="4"/>
  <c r="AI6" i="4"/>
  <c r="M25" i="4"/>
  <c r="O57" i="4"/>
  <c r="V25" i="4"/>
  <c r="AU90" i="4"/>
  <c r="AU9" i="4"/>
  <c r="AU28" i="4"/>
  <c r="N128" i="4"/>
  <c r="N132" i="4"/>
  <c r="N11" i="4"/>
  <c r="AG2" i="4"/>
  <c r="AO2" i="4"/>
  <c r="AW2" i="4"/>
  <c r="AO3" i="4"/>
  <c r="BA7" i="4"/>
  <c r="M8" i="4"/>
  <c r="Q8" i="4"/>
  <c r="Q13" i="4"/>
  <c r="AQ8" i="4"/>
  <c r="AX13" i="4"/>
  <c r="BB13" i="4"/>
  <c r="BF13" i="4"/>
  <c r="AG18" i="4"/>
  <c r="AK2" i="4"/>
  <c r="AP2" i="4"/>
  <c r="AT6" i="4"/>
  <c r="AL5" i="4"/>
  <c r="AS22" i="4"/>
  <c r="AJ22" i="4"/>
  <c r="AV3" i="4"/>
  <c r="AU22" i="4"/>
  <c r="AQ24" i="4"/>
  <c r="AU24" i="4"/>
  <c r="AB108" i="4"/>
  <c r="AZ108" i="4"/>
  <c r="BD108" i="4"/>
  <c r="AH4" i="4"/>
  <c r="P119" i="4"/>
  <c r="P25" i="4"/>
  <c r="AD90" i="4"/>
  <c r="AF90" i="4"/>
  <c r="AQ18" i="4"/>
  <c r="AQ90" i="4"/>
  <c r="AW9" i="4"/>
  <c r="AQ30" i="4"/>
  <c r="AQ11" i="4"/>
  <c r="W97" i="4"/>
  <c r="AW106" i="4"/>
  <c r="O130" i="4"/>
  <c r="AO29" i="4"/>
  <c r="O102" i="4"/>
  <c r="AO27" i="4"/>
  <c r="AO8" i="4"/>
  <c r="AS27" i="4"/>
  <c r="AW27" i="4"/>
  <c r="AR29" i="4"/>
  <c r="AV29" i="4"/>
  <c r="X105" i="4"/>
  <c r="X9" i="4"/>
  <c r="K131" i="4"/>
  <c r="K132" i="4"/>
  <c r="J132" i="4"/>
  <c r="AB13" i="4"/>
  <c r="AF13" i="4"/>
  <c r="AJ13" i="4"/>
  <c r="AZ13" i="4"/>
  <c r="BH13" i="4"/>
  <c r="R7" i="4"/>
  <c r="AX7" i="4"/>
  <c r="BB7" i="4"/>
  <c r="BF7" i="4"/>
  <c r="AE13" i="4"/>
  <c r="AI18" i="4"/>
  <c r="AT3" i="4"/>
  <c r="AN22" i="4"/>
  <c r="P7" i="4"/>
  <c r="AZ7" i="4"/>
  <c r="BD7" i="4"/>
  <c r="BH7" i="4"/>
  <c r="AC13" i="4"/>
  <c r="AG13" i="4"/>
  <c r="AK13" i="4"/>
  <c r="AD2" i="4"/>
  <c r="AH2" i="4"/>
  <c r="AL2" i="4"/>
  <c r="AR22" i="4"/>
  <c r="AV22" i="4"/>
  <c r="AL83" i="4"/>
  <c r="X81" i="4"/>
  <c r="X83" i="4"/>
  <c r="X38" i="4"/>
  <c r="AG90" i="4"/>
  <c r="AU18" i="4"/>
  <c r="AE90" i="4"/>
  <c r="AI90" i="4"/>
  <c r="AI13" i="4"/>
  <c r="AY13" i="4"/>
  <c r="BG13" i="4"/>
  <c r="AM25" i="4"/>
  <c r="X57" i="4"/>
  <c r="AG83" i="4"/>
  <c r="AK83" i="4"/>
  <c r="AJ90" i="4"/>
  <c r="AV90" i="4"/>
  <c r="AP90" i="4"/>
  <c r="AT90" i="4"/>
  <c r="AP106" i="4"/>
  <c r="AT106" i="4"/>
  <c r="M106" i="4"/>
  <c r="M40" i="4"/>
  <c r="Q106" i="4"/>
  <c r="Q40" i="4"/>
  <c r="AV30" i="4"/>
  <c r="AW29" i="4"/>
  <c r="K106" i="4"/>
  <c r="K40" i="4"/>
  <c r="N137" i="4"/>
  <c r="N152" i="4"/>
  <c r="N157" i="4"/>
  <c r="N159" i="4"/>
  <c r="AM7" i="4"/>
  <c r="AY7" i="4"/>
  <c r="BC7" i="4"/>
  <c r="BG7" i="4"/>
  <c r="U13" i="4"/>
  <c r="AV18" i="4"/>
  <c r="AL3" i="4"/>
  <c r="Q25" i="4"/>
  <c r="AB25" i="4"/>
  <c r="AZ25" i="4"/>
  <c r="BH25" i="4"/>
  <c r="AD22" i="4"/>
  <c r="AH22" i="4"/>
  <c r="AL22" i="4"/>
  <c r="AC31" i="4"/>
  <c r="AK31" i="4"/>
  <c r="BA31" i="4"/>
  <c r="L151" i="4"/>
  <c r="O61" i="4"/>
  <c r="O22" i="4"/>
  <c r="AU3" i="4"/>
  <c r="AR8" i="4"/>
  <c r="AV8" i="4"/>
  <c r="N25" i="4"/>
  <c r="BA25" i="4"/>
  <c r="BE25" i="4"/>
  <c r="L25" i="4"/>
  <c r="AD31" i="4"/>
  <c r="AH31" i="4"/>
  <c r="AL31" i="4"/>
  <c r="AX31" i="4"/>
  <c r="BB31" i="4"/>
  <c r="BF31" i="4"/>
  <c r="O120" i="4"/>
  <c r="O136" i="4"/>
  <c r="K119" i="4"/>
  <c r="K65" i="4"/>
  <c r="X55" i="4"/>
  <c r="X20" i="4"/>
  <c r="AJ18" i="4"/>
  <c r="AU4" i="4"/>
  <c r="BD25" i="4"/>
  <c r="T31" i="4"/>
  <c r="AG31" i="4"/>
  <c r="BE31" i="4"/>
  <c r="K121" i="4"/>
  <c r="K137" i="4"/>
  <c r="X56" i="4"/>
  <c r="K154" i="4"/>
  <c r="K122" i="4"/>
  <c r="X63" i="4"/>
  <c r="AE2" i="4"/>
  <c r="AI2" i="4"/>
  <c r="AQ2" i="4"/>
  <c r="AU2" i="4"/>
  <c r="AR11" i="4"/>
  <c r="AV11" i="4"/>
  <c r="AX25" i="4"/>
  <c r="BB25" i="4"/>
  <c r="BF25" i="4"/>
  <c r="V31" i="4"/>
  <c r="AY31" i="4"/>
  <c r="BC31" i="4"/>
  <c r="BG31" i="4"/>
  <c r="W80" i="4"/>
  <c r="O150" i="4"/>
  <c r="W62" i="4"/>
  <c r="AE77" i="4"/>
  <c r="AI77" i="4"/>
  <c r="M83" i="4"/>
  <c r="M38" i="4"/>
  <c r="O81" i="4"/>
  <c r="M119" i="4"/>
  <c r="AK90" i="4"/>
  <c r="AW18" i="4"/>
  <c r="AW90" i="4"/>
  <c r="AR106" i="4"/>
  <c r="AV106" i="4"/>
  <c r="O156" i="4"/>
  <c r="W64" i="4"/>
  <c r="AF77" i="4"/>
  <c r="AJ77" i="4"/>
  <c r="AP77" i="4"/>
  <c r="AT77" i="4"/>
  <c r="AL90" i="4"/>
  <c r="AR90" i="4"/>
  <c r="AO106" i="4"/>
  <c r="AS106" i="4"/>
  <c r="J119" i="4"/>
  <c r="J65" i="4"/>
  <c r="K120" i="4"/>
  <c r="K136" i="4"/>
  <c r="M121" i="4"/>
  <c r="M137" i="4"/>
  <c r="X77" i="4"/>
  <c r="AH90" i="4"/>
  <c r="AH18" i="4"/>
  <c r="AS18" i="4"/>
  <c r="AS90" i="4"/>
  <c r="J149" i="4"/>
  <c r="J152" i="4"/>
  <c r="J157" i="4"/>
  <c r="J121" i="4"/>
  <c r="J137" i="4"/>
  <c r="O154" i="4"/>
  <c r="BA108" i="4"/>
  <c r="BE108" i="4"/>
  <c r="P128" i="4"/>
  <c r="P106" i="4"/>
  <c r="P40" i="4"/>
  <c r="P41" i="4"/>
  <c r="X96" i="4"/>
  <c r="L122" i="4"/>
  <c r="L131" i="4"/>
  <c r="L132" i="4"/>
  <c r="P122" i="4"/>
  <c r="P131" i="4"/>
  <c r="X102" i="4"/>
  <c r="M128" i="4"/>
  <c r="J144" i="4"/>
  <c r="K144" i="4"/>
  <c r="X59" i="4"/>
  <c r="W63" i="4"/>
  <c r="X64" i="4"/>
  <c r="O68" i="4"/>
  <c r="O18" i="4"/>
  <c r="M122" i="4"/>
  <c r="M131" i="4"/>
  <c r="X103" i="4"/>
  <c r="X29" i="4"/>
  <c r="L121" i="4"/>
  <c r="L137" i="4"/>
  <c r="L144" i="4"/>
  <c r="L147" i="4"/>
  <c r="X60" i="4"/>
  <c r="X61" i="4"/>
  <c r="X22" i="4"/>
  <c r="AM108" i="4"/>
  <c r="AY108" i="4"/>
  <c r="BC108" i="4"/>
  <c r="BG108" i="4"/>
  <c r="AQ106" i="4"/>
  <c r="AU106" i="4"/>
  <c r="W100" i="4"/>
  <c r="N106" i="4"/>
  <c r="N40" i="4"/>
  <c r="N41" i="4"/>
  <c r="J122" i="4"/>
  <c r="J138" i="4"/>
  <c r="K147" i="4"/>
  <c r="D3" i="3"/>
  <c r="V42" i="4"/>
  <c r="U42" i="4"/>
  <c r="W96" i="4"/>
  <c r="W30" i="4"/>
  <c r="O30" i="4"/>
  <c r="X30" i="4"/>
  <c r="X11" i="5"/>
  <c r="R108" i="4"/>
  <c r="R42" i="4"/>
  <c r="W67" i="5"/>
  <c r="W13" i="5"/>
  <c r="O11" i="5"/>
  <c r="W57" i="4"/>
  <c r="O2" i="4"/>
  <c r="Q108" i="4"/>
  <c r="Q37" i="4"/>
  <c r="Q41" i="4"/>
  <c r="Q42" i="4"/>
  <c r="O72" i="5"/>
  <c r="O14" i="5"/>
  <c r="T11" i="5"/>
  <c r="T15" i="5"/>
  <c r="T72" i="5"/>
  <c r="M41" i="4"/>
  <c r="L37" i="4"/>
  <c r="L41" i="4"/>
  <c r="L108" i="4"/>
  <c r="M108" i="4"/>
  <c r="P108" i="4"/>
  <c r="P42" i="4"/>
  <c r="J108" i="4"/>
  <c r="J37" i="4"/>
  <c r="J41" i="4"/>
  <c r="X14" i="5"/>
  <c r="S72" i="5"/>
  <c r="S16" i="5"/>
  <c r="N108" i="4"/>
  <c r="N42" i="4"/>
  <c r="O3" i="4"/>
  <c r="J16" i="5"/>
  <c r="W47" i="5"/>
  <c r="W12" i="5"/>
  <c r="V16" i="5"/>
  <c r="W71" i="5"/>
  <c r="K108" i="4"/>
  <c r="K37" i="4"/>
  <c r="K41" i="4"/>
  <c r="X3" i="4"/>
  <c r="X2" i="4"/>
  <c r="X65" i="4"/>
  <c r="AC22" i="4"/>
  <c r="AC25" i="4"/>
  <c r="AC33" i="4"/>
  <c r="AC65" i="4"/>
  <c r="AC108" i="4"/>
  <c r="O11" i="4"/>
  <c r="AT65" i="4"/>
  <c r="AT108" i="4"/>
  <c r="O65" i="4"/>
  <c r="AT13" i="4"/>
  <c r="BC14" i="4"/>
  <c r="L31" i="4"/>
  <c r="M13" i="4"/>
  <c r="M14" i="4"/>
  <c r="BE14" i="4"/>
  <c r="R13" i="4"/>
  <c r="R14" i="4"/>
  <c r="AB33" i="4"/>
  <c r="AB34" i="4"/>
  <c r="O106" i="4"/>
  <c r="O40" i="4"/>
  <c r="S7" i="4"/>
  <c r="S14" i="4"/>
  <c r="N13" i="4"/>
  <c r="N14" i="4"/>
  <c r="AP13" i="4"/>
  <c r="AY33" i="4"/>
  <c r="AY34" i="4"/>
  <c r="AX33" i="4"/>
  <c r="AX34" i="4"/>
  <c r="AQ31" i="4"/>
  <c r="BG33" i="4"/>
  <c r="BG34" i="4"/>
  <c r="AZ14" i="4"/>
  <c r="AB14" i="4"/>
  <c r="M33" i="4"/>
  <c r="AP31" i="4"/>
  <c r="AM33" i="4"/>
  <c r="AM34" i="4"/>
  <c r="K25" i="4"/>
  <c r="K33" i="4"/>
  <c r="K34" i="4"/>
  <c r="AP25" i="4"/>
  <c r="BF33" i="4"/>
  <c r="BF34" i="4"/>
  <c r="O147" i="4"/>
  <c r="O144" i="4"/>
  <c r="AD25" i="4"/>
  <c r="AD33" i="4"/>
  <c r="AK7" i="4"/>
  <c r="AK14" i="4"/>
  <c r="AG25" i="4"/>
  <c r="AG33" i="4"/>
  <c r="BC33" i="4"/>
  <c r="L14" i="4"/>
  <c r="AM14" i="4"/>
  <c r="AV31" i="4"/>
  <c r="AO13" i="4"/>
  <c r="Q14" i="4"/>
  <c r="AR7" i="4"/>
  <c r="AK108" i="4"/>
  <c r="AQ7" i="4"/>
  <c r="AJ25" i="4"/>
  <c r="AJ33" i="4"/>
  <c r="L152" i="4"/>
  <c r="L157" i="4"/>
  <c r="L159" i="4"/>
  <c r="AU31" i="4"/>
  <c r="AS13" i="4"/>
  <c r="P31" i="4"/>
  <c r="P33" i="4"/>
  <c r="P34" i="4"/>
  <c r="O128" i="4"/>
  <c r="N135" i="4"/>
  <c r="N139" i="4"/>
  <c r="AE108" i="4"/>
  <c r="AH7" i="4"/>
  <c r="AH14" i="4"/>
  <c r="AN25" i="4"/>
  <c r="AN33" i="4"/>
  <c r="AN34" i="4"/>
  <c r="N31" i="4"/>
  <c r="N33" i="4"/>
  <c r="S25" i="4"/>
  <c r="S33" i="4"/>
  <c r="AF7" i="4"/>
  <c r="AF14" i="4"/>
  <c r="AJ7" i="4"/>
  <c r="AJ14" i="4"/>
  <c r="AS7" i="4"/>
  <c r="AS31" i="4"/>
  <c r="U25" i="4"/>
  <c r="U33" i="4"/>
  <c r="U34" i="4"/>
  <c r="AL7" i="4"/>
  <c r="AL14" i="4"/>
  <c r="AV25" i="4"/>
  <c r="AW31" i="4"/>
  <c r="O119" i="4"/>
  <c r="AQ108" i="4"/>
  <c r="AQ13" i="4"/>
  <c r="J159" i="4"/>
  <c r="W60" i="4"/>
  <c r="W61" i="4"/>
  <c r="W68" i="4"/>
  <c r="W3" i="4"/>
  <c r="AU25" i="4"/>
  <c r="AD7" i="4"/>
  <c r="AD14" i="4"/>
  <c r="P14" i="4"/>
  <c r="BB14" i="4"/>
  <c r="AR31" i="4"/>
  <c r="AP7" i="4"/>
  <c r="AU13" i="4"/>
  <c r="AK25" i="4"/>
  <c r="AK33" i="4"/>
  <c r="AO25" i="4"/>
  <c r="R31" i="4"/>
  <c r="R33" i="4"/>
  <c r="T25" i="4"/>
  <c r="T33" i="4"/>
  <c r="T34" i="4"/>
  <c r="AL25" i="4"/>
  <c r="AL33" i="4"/>
  <c r="AG108" i="4"/>
  <c r="AN14" i="4"/>
  <c r="W102" i="4"/>
  <c r="W27" i="4"/>
  <c r="AD108" i="4"/>
  <c r="AW25" i="4"/>
  <c r="AE7" i="4"/>
  <c r="AE14" i="4"/>
  <c r="V14" i="4"/>
  <c r="AW13" i="4"/>
  <c r="T7" i="4"/>
  <c r="T14" i="4"/>
  <c r="AT31" i="4"/>
  <c r="AF25" i="4"/>
  <c r="AF33" i="4"/>
  <c r="O122" i="4"/>
  <c r="Q33" i="4"/>
  <c r="AR25" i="4"/>
  <c r="V33" i="4"/>
  <c r="AV7" i="4"/>
  <c r="P132" i="4"/>
  <c r="AI7" i="4"/>
  <c r="AI14" i="4"/>
  <c r="BH33" i="4"/>
  <c r="BH34" i="4"/>
  <c r="U14" i="4"/>
  <c r="AX14" i="4"/>
  <c r="AO31" i="4"/>
  <c r="AQ25" i="4"/>
  <c r="P135" i="4"/>
  <c r="P139" i="4"/>
  <c r="AW7" i="4"/>
  <c r="AE25" i="4"/>
  <c r="AE33" i="4"/>
  <c r="N123" i="4"/>
  <c r="AT22" i="4"/>
  <c r="AT25" i="4"/>
  <c r="AP108" i="4"/>
  <c r="BF14" i="4"/>
  <c r="AU108" i="4"/>
  <c r="AG7" i="4"/>
  <c r="AG14" i="4"/>
  <c r="BG14" i="4"/>
  <c r="P123" i="4"/>
  <c r="P125" i="4"/>
  <c r="AS25" i="4"/>
  <c r="AW108" i="4"/>
  <c r="BA33" i="4"/>
  <c r="BA34" i="4"/>
  <c r="AZ33" i="4"/>
  <c r="AZ34" i="4"/>
  <c r="BH14" i="4"/>
  <c r="AT7" i="4"/>
  <c r="O131" i="4"/>
  <c r="O27" i="4"/>
  <c r="O8" i="4"/>
  <c r="W9" i="4"/>
  <c r="K157" i="4"/>
  <c r="K159" i="4"/>
  <c r="AL108" i="4"/>
  <c r="AO108" i="4"/>
  <c r="AF108" i="4"/>
  <c r="AI108" i="4"/>
  <c r="K138" i="4"/>
  <c r="BD33" i="4"/>
  <c r="BD34" i="4"/>
  <c r="K7" i="4"/>
  <c r="K14" i="4"/>
  <c r="AY14" i="4"/>
  <c r="BD14" i="4"/>
  <c r="AI25" i="4"/>
  <c r="AI33" i="4"/>
  <c r="AC2" i="4"/>
  <c r="AC7" i="4"/>
  <c r="AC14" i="4"/>
  <c r="BA14" i="4"/>
  <c r="AO7" i="4"/>
  <c r="M123" i="4"/>
  <c r="M135" i="4"/>
  <c r="X24" i="4"/>
  <c r="AR108" i="4"/>
  <c r="W11" i="4"/>
  <c r="W29" i="4"/>
  <c r="M138" i="4"/>
  <c r="X27" i="4"/>
  <c r="X8" i="4"/>
  <c r="L138" i="4"/>
  <c r="L139" i="4"/>
  <c r="AH25" i="4"/>
  <c r="AH33" i="4"/>
  <c r="J123" i="4"/>
  <c r="J135" i="4"/>
  <c r="J139" i="4"/>
  <c r="AS108" i="4"/>
  <c r="W81" i="4"/>
  <c r="O24" i="4"/>
  <c r="O121" i="4"/>
  <c r="O137" i="4"/>
  <c r="BB33" i="4"/>
  <c r="K135" i="4"/>
  <c r="K123" i="4"/>
  <c r="BE33" i="4"/>
  <c r="AV13" i="4"/>
  <c r="X11" i="4"/>
  <c r="X106" i="4"/>
  <c r="X40" i="4"/>
  <c r="AV108" i="4"/>
  <c r="AR13" i="4"/>
  <c r="O151" i="4"/>
  <c r="O152" i="4"/>
  <c r="W77" i="4"/>
  <c r="O77" i="4"/>
  <c r="M132" i="4"/>
  <c r="P138" i="4"/>
  <c r="L123" i="4"/>
  <c r="AH108" i="4"/>
  <c r="O83" i="4"/>
  <c r="O38" i="4"/>
  <c r="AU7" i="4"/>
  <c r="AJ108" i="4"/>
  <c r="E7" i="3"/>
  <c r="E4" i="3"/>
  <c r="E5" i="3"/>
  <c r="E6" i="3"/>
  <c r="E3" i="3"/>
  <c r="M42" i="4"/>
  <c r="T16" i="5"/>
  <c r="W72" i="5"/>
  <c r="W14" i="5"/>
  <c r="W15" i="5"/>
  <c r="W16" i="5"/>
  <c r="L42" i="4"/>
  <c r="J125" i="4"/>
  <c r="O108" i="4"/>
  <c r="O37" i="4"/>
  <c r="O41" i="4"/>
  <c r="K42" i="4"/>
  <c r="W18" i="4"/>
  <c r="X72" i="5"/>
  <c r="W2" i="4"/>
  <c r="W22" i="4"/>
  <c r="O15" i="5"/>
  <c r="O16" i="5"/>
  <c r="X15" i="5"/>
  <c r="X16" i="5"/>
  <c r="X108" i="4"/>
  <c r="X37" i="4"/>
  <c r="K15" i="4"/>
  <c r="S15" i="4"/>
  <c r="S34" i="4"/>
  <c r="AS14" i="4"/>
  <c r="AW14" i="4"/>
  <c r="AJ15" i="4"/>
  <c r="AY15" i="4"/>
  <c r="L33" i="4"/>
  <c r="L15" i="4"/>
  <c r="O13" i="4"/>
  <c r="W65" i="4"/>
  <c r="AT14" i="4"/>
  <c r="BC15" i="4"/>
  <c r="BF15" i="4"/>
  <c r="AF15" i="4"/>
  <c r="W8" i="4"/>
  <c r="W13" i="4"/>
  <c r="O157" i="4"/>
  <c r="O159" i="4"/>
  <c r="AV33" i="4"/>
  <c r="AV34" i="4"/>
  <c r="AP14" i="4"/>
  <c r="AC34" i="4"/>
  <c r="AH15" i="4"/>
  <c r="BG15" i="4"/>
  <c r="AJ34" i="4"/>
  <c r="AB15" i="4"/>
  <c r="Q15" i="4"/>
  <c r="BH15" i="4"/>
  <c r="AP33" i="4"/>
  <c r="AP34" i="4"/>
  <c r="AX15" i="4"/>
  <c r="AQ14" i="4"/>
  <c r="AR33" i="4"/>
  <c r="AR34" i="4"/>
  <c r="AG34" i="4"/>
  <c r="AO14" i="4"/>
  <c r="M15" i="4"/>
  <c r="AE34" i="4"/>
  <c r="BC34" i="4"/>
  <c r="AQ33" i="4"/>
  <c r="AQ34" i="4"/>
  <c r="AU33" i="4"/>
  <c r="AU34" i="4"/>
  <c r="AM15" i="4"/>
  <c r="AT33" i="4"/>
  <c r="AV14" i="4"/>
  <c r="K139" i="4"/>
  <c r="AN15" i="4"/>
  <c r="X7" i="4"/>
  <c r="O31" i="4"/>
  <c r="AO33" i="4"/>
  <c r="AO34" i="4"/>
  <c r="O135" i="4"/>
  <c r="AW33" i="4"/>
  <c r="AW34" i="4"/>
  <c r="AC15" i="4"/>
  <c r="O132" i="4"/>
  <c r="AS33" i="4"/>
  <c r="AG15" i="4"/>
  <c r="BD15" i="4"/>
  <c r="AR14" i="4"/>
  <c r="AD34" i="4"/>
  <c r="AF34" i="4"/>
  <c r="AE15" i="4"/>
  <c r="AU14" i="4"/>
  <c r="O25" i="4"/>
  <c r="O7" i="4"/>
  <c r="T15" i="4"/>
  <c r="P15" i="4"/>
  <c r="N125" i="4"/>
  <c r="U15" i="4"/>
  <c r="N34" i="4"/>
  <c r="W106" i="4"/>
  <c r="W40" i="4"/>
  <c r="AI15" i="4"/>
  <c r="W31" i="4"/>
  <c r="K125" i="4"/>
  <c r="AL34" i="4"/>
  <c r="AD15" i="4"/>
  <c r="V34" i="4"/>
  <c r="N15" i="4"/>
  <c r="AI34" i="4"/>
  <c r="BA15" i="4"/>
  <c r="W24" i="4"/>
  <c r="W83" i="4"/>
  <c r="W38" i="4"/>
  <c r="W7" i="4"/>
  <c r="O138" i="4"/>
  <c r="AZ15" i="4"/>
  <c r="O123" i="4"/>
  <c r="X25" i="4"/>
  <c r="Q34" i="4"/>
  <c r="L125" i="4"/>
  <c r="X13" i="4"/>
  <c r="M139" i="4"/>
  <c r="AL15" i="4"/>
  <c r="BE34" i="4"/>
  <c r="BE15" i="4"/>
  <c r="AH34" i="4"/>
  <c r="X31" i="4"/>
  <c r="R34" i="4"/>
  <c r="R15" i="4"/>
  <c r="M125" i="4"/>
  <c r="M34" i="4"/>
  <c r="AK34" i="4"/>
  <c r="AK15" i="4"/>
  <c r="BB34" i="4"/>
  <c r="BB15" i="4"/>
  <c r="C8" i="3"/>
  <c r="D8" i="3"/>
  <c r="F8" i="3"/>
  <c r="G8" i="3"/>
  <c r="H8" i="3"/>
  <c r="B8" i="3"/>
  <c r="O42" i="4"/>
  <c r="O14" i="4"/>
  <c r="W37" i="4"/>
  <c r="W41" i="4"/>
  <c r="W108" i="4"/>
  <c r="X41" i="4"/>
  <c r="X42" i="4"/>
  <c r="AS15" i="4"/>
  <c r="L34" i="4"/>
  <c r="AT15" i="4"/>
  <c r="X14" i="4"/>
  <c r="AR15" i="4"/>
  <c r="AT34" i="4"/>
  <c r="AV15" i="4"/>
  <c r="AQ15" i="4"/>
  <c r="AP15" i="4"/>
  <c r="AU15" i="4"/>
  <c r="O139" i="4"/>
  <c r="AS34" i="4"/>
  <c r="AW15" i="4"/>
  <c r="O33" i="4"/>
  <c r="O15" i="4"/>
  <c r="AO15" i="4"/>
  <c r="W14" i="4"/>
  <c r="W25" i="4"/>
  <c r="W33" i="4"/>
  <c r="O125" i="4"/>
  <c r="X33" i="4"/>
  <c r="E8" i="3"/>
  <c r="W216" i="2"/>
  <c r="W215" i="2"/>
  <c r="W214" i="2"/>
  <c r="W213" i="2"/>
  <c r="W217" i="2"/>
  <c r="V207" i="2"/>
  <c r="U207" i="2"/>
  <c r="T207" i="2"/>
  <c r="S207" i="2"/>
  <c r="R207" i="2"/>
  <c r="Q207" i="2"/>
  <c r="P207" i="2"/>
  <c r="N207" i="2"/>
  <c r="M207" i="2"/>
  <c r="L207" i="2"/>
  <c r="V205" i="2"/>
  <c r="U205" i="2"/>
  <c r="T205" i="2"/>
  <c r="S205" i="2"/>
  <c r="R205" i="2"/>
  <c r="Q205" i="2"/>
  <c r="P205" i="2"/>
  <c r="N205" i="2"/>
  <c r="M205" i="2"/>
  <c r="L205" i="2"/>
  <c r="T200" i="2"/>
  <c r="T201" i="2"/>
  <c r="T202" i="2"/>
  <c r="T203" i="2"/>
  <c r="P200" i="2"/>
  <c r="P201" i="2"/>
  <c r="P202" i="2"/>
  <c r="P203" i="2"/>
  <c r="V202" i="2"/>
  <c r="U202" i="2"/>
  <c r="S202" i="2"/>
  <c r="R202" i="2"/>
  <c r="Q202" i="2"/>
  <c r="N202" i="2"/>
  <c r="M202" i="2"/>
  <c r="V201" i="2"/>
  <c r="V200" i="2"/>
  <c r="V203" i="2"/>
  <c r="U201" i="2"/>
  <c r="S201" i="2"/>
  <c r="R201" i="2"/>
  <c r="R200" i="2"/>
  <c r="R203" i="2"/>
  <c r="Q201" i="2"/>
  <c r="N201" i="2"/>
  <c r="N200" i="2"/>
  <c r="N203" i="2"/>
  <c r="M201" i="2"/>
  <c r="L201" i="2"/>
  <c r="K201" i="2"/>
  <c r="J201" i="2"/>
  <c r="U200" i="2"/>
  <c r="U203" i="2"/>
  <c r="U198" i="2"/>
  <c r="U208" i="2"/>
  <c r="S200" i="2"/>
  <c r="S203" i="2"/>
  <c r="S198" i="2"/>
  <c r="S208" i="2"/>
  <c r="Q84" i="2"/>
  <c r="Q200" i="2"/>
  <c r="Q203" i="2"/>
  <c r="Q198" i="2"/>
  <c r="Q208" i="2"/>
  <c r="M200" i="2"/>
  <c r="M203" i="2"/>
  <c r="V198" i="2"/>
  <c r="V208" i="2"/>
  <c r="V195" i="2"/>
  <c r="V210" i="2"/>
  <c r="T198" i="2"/>
  <c r="R198" i="2"/>
  <c r="R208" i="2"/>
  <c r="R195" i="2"/>
  <c r="R210" i="2"/>
  <c r="P198" i="2"/>
  <c r="N198" i="2"/>
  <c r="N208" i="2"/>
  <c r="N195" i="2"/>
  <c r="N210" i="2"/>
  <c r="M198" i="2"/>
  <c r="J198" i="2"/>
  <c r="U195" i="2"/>
  <c r="T195" i="2"/>
  <c r="S195" i="2"/>
  <c r="S210" i="2"/>
  <c r="P195" i="2"/>
  <c r="M195" i="2"/>
  <c r="U173" i="2"/>
  <c r="U182" i="2"/>
  <c r="U189" i="2"/>
  <c r="T172" i="2"/>
  <c r="T181" i="2"/>
  <c r="T188" i="2"/>
  <c r="P172" i="2"/>
  <c r="P181" i="2"/>
  <c r="P188" i="2"/>
  <c r="U179" i="2"/>
  <c r="U181" i="2"/>
  <c r="U183" i="2"/>
  <c r="V182" i="2"/>
  <c r="T182" i="2"/>
  <c r="S182" i="2"/>
  <c r="J182" i="2"/>
  <c r="V181" i="2"/>
  <c r="S181" i="2"/>
  <c r="S179" i="2"/>
  <c r="S183" i="2"/>
  <c r="R181" i="2"/>
  <c r="Q181" i="2"/>
  <c r="N181" i="2"/>
  <c r="M181" i="2"/>
  <c r="L181" i="2"/>
  <c r="K181" i="2"/>
  <c r="J181" i="2"/>
  <c r="V179" i="2"/>
  <c r="V183" i="2"/>
  <c r="T179" i="2"/>
  <c r="L179" i="2"/>
  <c r="K179" i="2"/>
  <c r="J179" i="2"/>
  <c r="J183" i="2"/>
  <c r="V173" i="2"/>
  <c r="V189" i="2"/>
  <c r="T173" i="2"/>
  <c r="S173" i="2"/>
  <c r="S189" i="2"/>
  <c r="V172" i="2"/>
  <c r="V188" i="2"/>
  <c r="U172" i="2"/>
  <c r="U188" i="2"/>
  <c r="R172" i="2"/>
  <c r="R188" i="2"/>
  <c r="N172" i="2"/>
  <c r="N188" i="2"/>
  <c r="J84" i="2"/>
  <c r="J85" i="2"/>
  <c r="J172" i="2"/>
  <c r="J188" i="2"/>
  <c r="R171" i="2"/>
  <c r="R187" i="2"/>
  <c r="Q171" i="2"/>
  <c r="Q187" i="2"/>
  <c r="P171" i="2"/>
  <c r="P187" i="2"/>
  <c r="N171" i="2"/>
  <c r="N187" i="2"/>
  <c r="M171" i="2"/>
  <c r="M187" i="2"/>
  <c r="L171" i="2"/>
  <c r="L187" i="2"/>
  <c r="BH164" i="2"/>
  <c r="BG164" i="2"/>
  <c r="BF164" i="2"/>
  <c r="BE164" i="2"/>
  <c r="BD164" i="2"/>
  <c r="BC164" i="2"/>
  <c r="BB164" i="2"/>
  <c r="BA164" i="2"/>
  <c r="AZ164" i="2"/>
  <c r="AY164" i="2"/>
  <c r="AX164" i="2"/>
  <c r="AV164" i="2"/>
  <c r="AU164" i="2"/>
  <c r="AT164" i="2"/>
  <c r="AS164" i="2"/>
  <c r="AR164" i="2"/>
  <c r="AQ164" i="2"/>
  <c r="AP164" i="2"/>
  <c r="AO164" i="2"/>
  <c r="AN164" i="2"/>
  <c r="AM164" i="2"/>
  <c r="AK164" i="2"/>
  <c r="AJ164" i="2"/>
  <c r="AI164" i="2"/>
  <c r="AH164" i="2"/>
  <c r="AG164" i="2"/>
  <c r="AF164" i="2"/>
  <c r="AE164" i="2"/>
  <c r="AD164" i="2"/>
  <c r="AC164" i="2"/>
  <c r="AB164" i="2"/>
  <c r="AA164" i="2"/>
  <c r="Y164" i="2"/>
  <c r="X164" i="2"/>
  <c r="W164" i="2"/>
  <c r="U164" i="2"/>
  <c r="T164" i="2"/>
  <c r="S164" i="2"/>
  <c r="R164" i="2"/>
  <c r="Q164" i="2"/>
  <c r="P164" i="2"/>
  <c r="O164" i="2"/>
  <c r="N164" i="2"/>
  <c r="M164" i="2"/>
  <c r="L164" i="2"/>
  <c r="K164" i="2"/>
  <c r="BE89" i="2"/>
  <c r="BE102" i="2"/>
  <c r="BE113" i="2"/>
  <c r="BE138" i="2"/>
  <c r="BE157" i="2"/>
  <c r="BE159" i="2"/>
  <c r="O158" i="2"/>
  <c r="BH157" i="2"/>
  <c r="BG157" i="2"/>
  <c r="BF157" i="2"/>
  <c r="BD157" i="2"/>
  <c r="BC157" i="2"/>
  <c r="BB157" i="2"/>
  <c r="BA157" i="2"/>
  <c r="AZ157" i="2"/>
  <c r="AY157" i="2"/>
  <c r="AX157" i="2"/>
  <c r="AN157" i="2"/>
  <c r="AM157" i="2"/>
  <c r="AL157" i="2"/>
  <c r="AK157" i="2"/>
  <c r="AJ157" i="2"/>
  <c r="AI157" i="2"/>
  <c r="AH157" i="2"/>
  <c r="AG157" i="2"/>
  <c r="AF157" i="2"/>
  <c r="AE157" i="2"/>
  <c r="AD157" i="2"/>
  <c r="AC157" i="2"/>
  <c r="AB157" i="2"/>
  <c r="V157" i="2"/>
  <c r="U157" i="2"/>
  <c r="T157" i="2"/>
  <c r="S157" i="2"/>
  <c r="M144" i="2"/>
  <c r="M151" i="2"/>
  <c r="M157" i="2"/>
  <c r="J157" i="2"/>
  <c r="X156" i="2"/>
  <c r="O156" i="2"/>
  <c r="W156" i="2"/>
  <c r="X155" i="2"/>
  <c r="O155" i="2"/>
  <c r="W155" i="2"/>
  <c r="AW154" i="2"/>
  <c r="AV154" i="2"/>
  <c r="AU154" i="2"/>
  <c r="AT154" i="2"/>
  <c r="AS154" i="2"/>
  <c r="AR154" i="2"/>
  <c r="AR144" i="2"/>
  <c r="AR33" i="2"/>
  <c r="AQ154" i="2"/>
  <c r="AP154" i="2"/>
  <c r="AO154" i="2"/>
  <c r="L154" i="2"/>
  <c r="O154" i="2"/>
  <c r="W154" i="2"/>
  <c r="K154" i="2"/>
  <c r="AW153" i="2"/>
  <c r="AV153" i="2"/>
  <c r="AV146" i="2"/>
  <c r="AV149" i="2"/>
  <c r="AV150" i="2"/>
  <c r="AV152" i="2"/>
  <c r="AV147" i="2"/>
  <c r="AV32" i="2"/>
  <c r="AU153" i="2"/>
  <c r="AT153" i="2"/>
  <c r="AS153" i="2"/>
  <c r="AR153" i="2"/>
  <c r="AQ153" i="2"/>
  <c r="O153" i="2"/>
  <c r="W153" i="2"/>
  <c r="K153" i="2"/>
  <c r="X153" i="2"/>
  <c r="AW152" i="2"/>
  <c r="AW151" i="2"/>
  <c r="AW8" i="2"/>
  <c r="AU152" i="2"/>
  <c r="AT152" i="2"/>
  <c r="AT151" i="2"/>
  <c r="AT8" i="2"/>
  <c r="AS152" i="2"/>
  <c r="AS151" i="2"/>
  <c r="AS8" i="2"/>
  <c r="AR152" i="2"/>
  <c r="AQ152" i="2"/>
  <c r="O152" i="2"/>
  <c r="W152" i="2"/>
  <c r="K152" i="2"/>
  <c r="AV151" i="2"/>
  <c r="AV145" i="2"/>
  <c r="AV30" i="2"/>
  <c r="AU151" i="2"/>
  <c r="AU8" i="2"/>
  <c r="AR151" i="2"/>
  <c r="AR145" i="2"/>
  <c r="AR30" i="2"/>
  <c r="AQ151" i="2"/>
  <c r="AP151" i="2"/>
  <c r="AO151" i="2"/>
  <c r="R151" i="2"/>
  <c r="Q151" i="2"/>
  <c r="P151" i="2"/>
  <c r="P173" i="2"/>
  <c r="N151" i="2"/>
  <c r="L151" i="2"/>
  <c r="L173" i="2"/>
  <c r="AW150" i="2"/>
  <c r="AU150" i="2"/>
  <c r="AT150" i="2"/>
  <c r="AS150" i="2"/>
  <c r="AR150" i="2"/>
  <c r="AQ150" i="2"/>
  <c r="AP150" i="2"/>
  <c r="AP146" i="2"/>
  <c r="AP147" i="2"/>
  <c r="AP32" i="2"/>
  <c r="AO150" i="2"/>
  <c r="X150" i="2"/>
  <c r="O150" i="2"/>
  <c r="W150" i="2"/>
  <c r="AW149" i="2"/>
  <c r="AU149" i="2"/>
  <c r="AT149" i="2"/>
  <c r="X149" i="2"/>
  <c r="O149" i="2"/>
  <c r="O181" i="2"/>
  <c r="AW148" i="2"/>
  <c r="AW144" i="2"/>
  <c r="AW33" i="2"/>
  <c r="AV148" i="2"/>
  <c r="AV144" i="2"/>
  <c r="AV33" i="2"/>
  <c r="X148" i="2"/>
  <c r="O148" i="2"/>
  <c r="W148" i="2"/>
  <c r="AW147" i="2"/>
  <c r="AU147" i="2"/>
  <c r="AT147" i="2"/>
  <c r="AS147" i="2"/>
  <c r="AR147" i="2"/>
  <c r="AQ147" i="2"/>
  <c r="AO147" i="2"/>
  <c r="AO32" i="2"/>
  <c r="X147" i="2"/>
  <c r="O147" i="2"/>
  <c r="W147" i="2"/>
  <c r="AW146" i="2"/>
  <c r="AU146" i="2"/>
  <c r="AT146" i="2"/>
  <c r="AS146" i="2"/>
  <c r="AR146" i="2"/>
  <c r="AQ146" i="2"/>
  <c r="X146" i="2"/>
  <c r="O146" i="2"/>
  <c r="W146" i="2"/>
  <c r="AW145" i="2"/>
  <c r="AU145" i="2"/>
  <c r="AT145" i="2"/>
  <c r="AS145" i="2"/>
  <c r="AQ145" i="2"/>
  <c r="AP145" i="2"/>
  <c r="AO145" i="2"/>
  <c r="X145" i="2"/>
  <c r="O145" i="2"/>
  <c r="W145" i="2"/>
  <c r="O142" i="2"/>
  <c r="W142" i="2"/>
  <c r="O143" i="2"/>
  <c r="W143" i="2"/>
  <c r="W9" i="2"/>
  <c r="AU144" i="2"/>
  <c r="AT144" i="2"/>
  <c r="AS144" i="2"/>
  <c r="AQ144" i="2"/>
  <c r="AQ33" i="2"/>
  <c r="AP144" i="2"/>
  <c r="R144" i="2"/>
  <c r="R117" i="2"/>
  <c r="R170" i="2"/>
  <c r="Q144" i="2"/>
  <c r="P144" i="2"/>
  <c r="P179" i="2"/>
  <c r="N144" i="2"/>
  <c r="N157" i="2"/>
  <c r="AW143" i="2"/>
  <c r="AV143" i="2"/>
  <c r="AU143" i="2"/>
  <c r="AT143" i="2"/>
  <c r="AS143" i="2"/>
  <c r="AR143" i="2"/>
  <c r="AQ143" i="2"/>
  <c r="AP143" i="2"/>
  <c r="AO143" i="2"/>
  <c r="X143" i="2"/>
  <c r="AW142" i="2"/>
  <c r="AV142" i="2"/>
  <c r="AV31" i="2"/>
  <c r="AU142" i="2"/>
  <c r="AT142" i="2"/>
  <c r="AS142" i="2"/>
  <c r="AR142" i="2"/>
  <c r="AR31" i="2"/>
  <c r="AQ142" i="2"/>
  <c r="AP142" i="2"/>
  <c r="AO142" i="2"/>
  <c r="X142" i="2"/>
  <c r="BH138" i="2"/>
  <c r="BG138" i="2"/>
  <c r="BF138" i="2"/>
  <c r="BD138" i="2"/>
  <c r="BC138" i="2"/>
  <c r="BB138" i="2"/>
  <c r="BA138" i="2"/>
  <c r="AZ138" i="2"/>
  <c r="AY138" i="2"/>
  <c r="AX138" i="2"/>
  <c r="AO133" i="2"/>
  <c r="AO138" i="2"/>
  <c r="AN138" i="2"/>
  <c r="AM138" i="2"/>
  <c r="AB138" i="2"/>
  <c r="V117" i="2"/>
  <c r="V138" i="2"/>
  <c r="U117" i="2"/>
  <c r="U138" i="2"/>
  <c r="R138" i="2"/>
  <c r="Q117" i="2"/>
  <c r="Q138" i="2"/>
  <c r="N117" i="2"/>
  <c r="N138" i="2"/>
  <c r="M117" i="2"/>
  <c r="M138" i="2"/>
  <c r="K117" i="2"/>
  <c r="K132" i="2"/>
  <c r="K137" i="2"/>
  <c r="K138" i="2"/>
  <c r="J138" i="2"/>
  <c r="AW137" i="2"/>
  <c r="AV137" i="2"/>
  <c r="AU137" i="2"/>
  <c r="AT137" i="2"/>
  <c r="AS137" i="2"/>
  <c r="AR137" i="2"/>
  <c r="AQ137" i="2"/>
  <c r="AL137" i="2"/>
  <c r="AK137" i="2"/>
  <c r="AJ137" i="2"/>
  <c r="AI137" i="2"/>
  <c r="AI87" i="2"/>
  <c r="AI88" i="2"/>
  <c r="AI111" i="2"/>
  <c r="AI27" i="2"/>
  <c r="AH137" i="2"/>
  <c r="AG137" i="2"/>
  <c r="AF137" i="2"/>
  <c r="X137" i="2"/>
  <c r="O137" i="2"/>
  <c r="W137" i="2"/>
  <c r="X136" i="2"/>
  <c r="O136" i="2"/>
  <c r="W136" i="2"/>
  <c r="AW135" i="2"/>
  <c r="AV135" i="2"/>
  <c r="AU135" i="2"/>
  <c r="AU73" i="2"/>
  <c r="AU93" i="2"/>
  <c r="AU97" i="2"/>
  <c r="AU98" i="2"/>
  <c r="AU100" i="2"/>
  <c r="AU4" i="2"/>
  <c r="AL135" i="2"/>
  <c r="AK135" i="2"/>
  <c r="AJ135" i="2"/>
  <c r="X135" i="2"/>
  <c r="O135" i="2"/>
  <c r="W135" i="2"/>
  <c r="AW134" i="2"/>
  <c r="AV134" i="2"/>
  <c r="AU134" i="2"/>
  <c r="AT134" i="2"/>
  <c r="AS134" i="2"/>
  <c r="AR134" i="2"/>
  <c r="AR74" i="2"/>
  <c r="AR23" i="2"/>
  <c r="AQ134" i="2"/>
  <c r="AP134" i="2"/>
  <c r="AL134" i="2"/>
  <c r="AK134" i="2"/>
  <c r="AJ134" i="2"/>
  <c r="AI134" i="2"/>
  <c r="AH134" i="2"/>
  <c r="AH74" i="2"/>
  <c r="AH23" i="2"/>
  <c r="AG134" i="2"/>
  <c r="AF134" i="2"/>
  <c r="AE134" i="2"/>
  <c r="X134" i="2"/>
  <c r="O134" i="2"/>
  <c r="W134" i="2"/>
  <c r="AW133" i="2"/>
  <c r="AV133" i="2"/>
  <c r="AU133" i="2"/>
  <c r="AT133" i="2"/>
  <c r="AS133" i="2"/>
  <c r="AR133" i="2"/>
  <c r="AQ133" i="2"/>
  <c r="AP133" i="2"/>
  <c r="AL133" i="2"/>
  <c r="AK133" i="2"/>
  <c r="AJ133" i="2"/>
  <c r="AI133" i="2"/>
  <c r="AH133" i="2"/>
  <c r="AG133" i="2"/>
  <c r="AF133" i="2"/>
  <c r="AE133" i="2"/>
  <c r="AD133" i="2"/>
  <c r="AD117" i="2"/>
  <c r="AD138" i="2"/>
  <c r="X133" i="2"/>
  <c r="O133" i="2"/>
  <c r="W133" i="2"/>
  <c r="AW132" i="2"/>
  <c r="AV132" i="2"/>
  <c r="AU132" i="2"/>
  <c r="AL132" i="2"/>
  <c r="AK132" i="2"/>
  <c r="AJ132" i="2"/>
  <c r="S132" i="2"/>
  <c r="S117" i="2"/>
  <c r="S138" i="2"/>
  <c r="O132" i="2"/>
  <c r="X131" i="2"/>
  <c r="O131" i="2"/>
  <c r="W131" i="2"/>
  <c r="AW130" i="2"/>
  <c r="AV130" i="2"/>
  <c r="AU130" i="2"/>
  <c r="AL130" i="2"/>
  <c r="AK130" i="2"/>
  <c r="AJ130" i="2"/>
  <c r="X130" i="2"/>
  <c r="O130" i="2"/>
  <c r="W130" i="2"/>
  <c r="AW129" i="2"/>
  <c r="AV129" i="2"/>
  <c r="AU129" i="2"/>
  <c r="AL129" i="2"/>
  <c r="AK129" i="2"/>
  <c r="AJ129" i="2"/>
  <c r="X129" i="2"/>
  <c r="O129" i="2"/>
  <c r="W129" i="2"/>
  <c r="AW128" i="2"/>
  <c r="AV128" i="2"/>
  <c r="AL128" i="2"/>
  <c r="AK128" i="2"/>
  <c r="X128" i="2"/>
  <c r="O128" i="2"/>
  <c r="W128" i="2"/>
  <c r="AW127" i="2"/>
  <c r="AV127" i="2"/>
  <c r="AL127" i="2"/>
  <c r="AK127" i="2"/>
  <c r="X127" i="2"/>
  <c r="O127" i="2"/>
  <c r="W127" i="2"/>
  <c r="AW126" i="2"/>
  <c r="AV126" i="2"/>
  <c r="AU126" i="2"/>
  <c r="AT126" i="2"/>
  <c r="AS126" i="2"/>
  <c r="AS120" i="2"/>
  <c r="AS117" i="2"/>
  <c r="AR126" i="2"/>
  <c r="AR120" i="2"/>
  <c r="AR117" i="2"/>
  <c r="AL126" i="2"/>
  <c r="AK126" i="2"/>
  <c r="AJ126" i="2"/>
  <c r="X126" i="2"/>
  <c r="O126" i="2"/>
  <c r="W126" i="2"/>
  <c r="AW125" i="2"/>
  <c r="AV125" i="2"/>
  <c r="AU125" i="2"/>
  <c r="AL125" i="2"/>
  <c r="AK125" i="2"/>
  <c r="AJ125" i="2"/>
  <c r="X125" i="2"/>
  <c r="O125" i="2"/>
  <c r="W125" i="2"/>
  <c r="AW124" i="2"/>
  <c r="AV124" i="2"/>
  <c r="AU124" i="2"/>
  <c r="AL124" i="2"/>
  <c r="AK124" i="2"/>
  <c r="AJ124" i="2"/>
  <c r="X124" i="2"/>
  <c r="O124" i="2"/>
  <c r="W124" i="2"/>
  <c r="AW123" i="2"/>
  <c r="AV123" i="2"/>
  <c r="AU123" i="2"/>
  <c r="AL123" i="2"/>
  <c r="AK123" i="2"/>
  <c r="AJ123" i="2"/>
  <c r="X123" i="2"/>
  <c r="O123" i="2"/>
  <c r="W123" i="2"/>
  <c r="AW122" i="2"/>
  <c r="AV122" i="2"/>
  <c r="AU122" i="2"/>
  <c r="AL122" i="2"/>
  <c r="AK122" i="2"/>
  <c r="AJ122" i="2"/>
  <c r="X122" i="2"/>
  <c r="O122" i="2"/>
  <c r="W122" i="2"/>
  <c r="AW121" i="2"/>
  <c r="AV121" i="2"/>
  <c r="AU121" i="2"/>
  <c r="AL121" i="2"/>
  <c r="AK121" i="2"/>
  <c r="AJ121" i="2"/>
  <c r="X121" i="2"/>
  <c r="O121" i="2"/>
  <c r="W121" i="2"/>
  <c r="AW120" i="2"/>
  <c r="AV120" i="2"/>
  <c r="AU120" i="2"/>
  <c r="AT120" i="2"/>
  <c r="AT117" i="2"/>
  <c r="AQ120" i="2"/>
  <c r="AQ6" i="2"/>
  <c r="AP120" i="2"/>
  <c r="AP117" i="2"/>
  <c r="AL120" i="2"/>
  <c r="AK120" i="2"/>
  <c r="AJ120" i="2"/>
  <c r="AI120" i="2"/>
  <c r="AI117" i="2"/>
  <c r="AH120" i="2"/>
  <c r="AG120" i="2"/>
  <c r="AG117" i="2"/>
  <c r="AF120" i="2"/>
  <c r="AE120" i="2"/>
  <c r="AE138" i="2"/>
  <c r="X120" i="2"/>
  <c r="O120" i="2"/>
  <c r="AW119" i="2"/>
  <c r="AV119" i="2"/>
  <c r="AU119" i="2"/>
  <c r="AL119" i="2"/>
  <c r="AK119" i="2"/>
  <c r="AJ119" i="2"/>
  <c r="X119" i="2"/>
  <c r="O119" i="2"/>
  <c r="W119" i="2"/>
  <c r="AW118" i="2"/>
  <c r="AV118" i="2"/>
  <c r="AU118" i="2"/>
  <c r="AL118" i="2"/>
  <c r="AK118" i="2"/>
  <c r="AJ118" i="2"/>
  <c r="X118" i="2"/>
  <c r="O118" i="2"/>
  <c r="W118" i="2"/>
  <c r="AO117" i="2"/>
  <c r="AN117" i="2"/>
  <c r="AH117" i="2"/>
  <c r="AF117" i="2"/>
  <c r="AE117" i="2"/>
  <c r="AC117" i="2"/>
  <c r="AC64" i="2"/>
  <c r="AC21" i="2"/>
  <c r="AC23" i="2"/>
  <c r="AC80" i="2"/>
  <c r="AC81" i="2"/>
  <c r="AC25" i="2"/>
  <c r="AC88" i="2"/>
  <c r="AC27" i="2"/>
  <c r="AC28" i="2"/>
  <c r="AC30" i="2"/>
  <c r="AC31" i="2"/>
  <c r="AC32" i="2"/>
  <c r="AC33" i="2"/>
  <c r="AC34" i="2"/>
  <c r="AC36" i="2"/>
  <c r="V170" i="2"/>
  <c r="T117" i="2"/>
  <c r="T138" i="2"/>
  <c r="P117" i="2"/>
  <c r="N170" i="2"/>
  <c r="L117" i="2"/>
  <c r="L138" i="2"/>
  <c r="BH113" i="2"/>
  <c r="BG113" i="2"/>
  <c r="BF113" i="2"/>
  <c r="BD113" i="2"/>
  <c r="BC113" i="2"/>
  <c r="BB113" i="2"/>
  <c r="BA113" i="2"/>
  <c r="AZ113" i="2"/>
  <c r="AY113" i="2"/>
  <c r="AX113" i="2"/>
  <c r="AP105" i="2"/>
  <c r="AP113" i="2"/>
  <c r="AO105" i="2"/>
  <c r="AO113" i="2"/>
  <c r="AN113" i="2"/>
  <c r="AM113" i="2"/>
  <c r="AC113" i="2"/>
  <c r="AB113" i="2"/>
  <c r="V113" i="2"/>
  <c r="U113" i="2"/>
  <c r="T113" i="2"/>
  <c r="S113" i="2"/>
  <c r="R113" i="2"/>
  <c r="Q113" i="2"/>
  <c r="P113" i="2"/>
  <c r="N113" i="2"/>
  <c r="M111" i="2"/>
  <c r="M113" i="2"/>
  <c r="K111" i="2"/>
  <c r="K113" i="2"/>
  <c r="J113" i="2"/>
  <c r="X112" i="2"/>
  <c r="W112" i="2"/>
  <c r="AW111" i="2"/>
  <c r="AW87" i="2"/>
  <c r="AW88" i="2"/>
  <c r="AW27" i="2"/>
  <c r="AV111" i="2"/>
  <c r="AV87" i="2"/>
  <c r="AV88" i="2"/>
  <c r="AV27" i="2"/>
  <c r="AU111" i="2"/>
  <c r="AT111" i="2"/>
  <c r="AS111" i="2"/>
  <c r="AR111" i="2"/>
  <c r="AQ111" i="2"/>
  <c r="AP111" i="2"/>
  <c r="AL111" i="2"/>
  <c r="AK111" i="2"/>
  <c r="AJ111" i="2"/>
  <c r="AH111" i="2"/>
  <c r="AG111" i="2"/>
  <c r="AF111" i="2"/>
  <c r="AE111" i="2"/>
  <c r="L111" i="2"/>
  <c r="X111" i="2"/>
  <c r="X110" i="2"/>
  <c r="O110" i="2"/>
  <c r="W110" i="2"/>
  <c r="AW109" i="2"/>
  <c r="AL109" i="2"/>
  <c r="X109" i="2"/>
  <c r="O109" i="2"/>
  <c r="W109" i="2"/>
  <c r="X108" i="2"/>
  <c r="O108" i="2"/>
  <c r="W108" i="2"/>
  <c r="X107" i="2"/>
  <c r="O107" i="2"/>
  <c r="W107" i="2"/>
  <c r="X106" i="2"/>
  <c r="O106" i="2"/>
  <c r="W106" i="2"/>
  <c r="AW105" i="2"/>
  <c r="AV105" i="2"/>
  <c r="AU105" i="2"/>
  <c r="AU113" i="2"/>
  <c r="AT105" i="2"/>
  <c r="AT113" i="2"/>
  <c r="AS105" i="2"/>
  <c r="AR105" i="2"/>
  <c r="AQ105" i="2"/>
  <c r="AQ113" i="2"/>
  <c r="AL105" i="2"/>
  <c r="AK105" i="2"/>
  <c r="AK113" i="2"/>
  <c r="AJ105" i="2"/>
  <c r="AJ113" i="2"/>
  <c r="AI105" i="2"/>
  <c r="AI113" i="2"/>
  <c r="AH105" i="2"/>
  <c r="AG105" i="2"/>
  <c r="AG113" i="2"/>
  <c r="AF105" i="2"/>
  <c r="AF113" i="2"/>
  <c r="AE105" i="2"/>
  <c r="AE113" i="2"/>
  <c r="AD105" i="2"/>
  <c r="AD113" i="2"/>
  <c r="X105" i="2"/>
  <c r="O105" i="2"/>
  <c r="W105" i="2"/>
  <c r="BH102" i="2"/>
  <c r="BG102" i="2"/>
  <c r="BF102" i="2"/>
  <c r="BD102" i="2"/>
  <c r="BC102" i="2"/>
  <c r="BB102" i="2"/>
  <c r="BA102" i="2"/>
  <c r="AZ102" i="2"/>
  <c r="AY102" i="2"/>
  <c r="AX102" i="2"/>
  <c r="AN102" i="2"/>
  <c r="AM102" i="2"/>
  <c r="AC102" i="2"/>
  <c r="AB102" i="2"/>
  <c r="AA102" i="2"/>
  <c r="Z102" i="2"/>
  <c r="Y102" i="2"/>
  <c r="V102" i="2"/>
  <c r="U102" i="2"/>
  <c r="T102" i="2"/>
  <c r="S102" i="2"/>
  <c r="R102" i="2"/>
  <c r="Q102" i="2"/>
  <c r="P102" i="2"/>
  <c r="N102" i="2"/>
  <c r="M102" i="2"/>
  <c r="L92" i="2"/>
  <c r="L102" i="2"/>
  <c r="K102" i="2"/>
  <c r="J102" i="2"/>
  <c r="AW100" i="2"/>
  <c r="AV100" i="2"/>
  <c r="AT100" i="2"/>
  <c r="AS100" i="2"/>
  <c r="AL100" i="2"/>
  <c r="AK100" i="2"/>
  <c r="AJ100" i="2"/>
  <c r="AI100" i="2"/>
  <c r="AH100" i="2"/>
  <c r="X100" i="2"/>
  <c r="O100" i="2"/>
  <c r="W100" i="2"/>
  <c r="AW99" i="2"/>
  <c r="AL99" i="2"/>
  <c r="X99" i="2"/>
  <c r="O99" i="2"/>
  <c r="W99" i="2"/>
  <c r="AW98" i="2"/>
  <c r="AV98" i="2"/>
  <c r="AT98" i="2"/>
  <c r="AT93" i="2"/>
  <c r="AT97" i="2"/>
  <c r="AT4" i="2"/>
  <c r="AS98" i="2"/>
  <c r="AR98" i="2"/>
  <c r="AQ98" i="2"/>
  <c r="AP98" i="2"/>
  <c r="AP93" i="2"/>
  <c r="AP97" i="2"/>
  <c r="AP4" i="2"/>
  <c r="AL98" i="2"/>
  <c r="AK98" i="2"/>
  <c r="AJ98" i="2"/>
  <c r="AI98" i="2"/>
  <c r="AH98" i="2"/>
  <c r="AG98" i="2"/>
  <c r="AF98" i="2"/>
  <c r="AE98" i="2"/>
  <c r="X98" i="2"/>
  <c r="O98" i="2"/>
  <c r="W98" i="2"/>
  <c r="AW97" i="2"/>
  <c r="AV97" i="2"/>
  <c r="AS97" i="2"/>
  <c r="AR97" i="2"/>
  <c r="AQ97" i="2"/>
  <c r="AL97" i="2"/>
  <c r="AK97" i="2"/>
  <c r="AJ97" i="2"/>
  <c r="AI97" i="2"/>
  <c r="AH97" i="2"/>
  <c r="AG97" i="2"/>
  <c r="AG93" i="2"/>
  <c r="AG4" i="2"/>
  <c r="AF97" i="2"/>
  <c r="AE97" i="2"/>
  <c r="X97" i="2"/>
  <c r="X73" i="2"/>
  <c r="X93" i="2"/>
  <c r="X4" i="2"/>
  <c r="O97" i="2"/>
  <c r="W97" i="2"/>
  <c r="AW96" i="2"/>
  <c r="AV96" i="2"/>
  <c r="AU96" i="2"/>
  <c r="AT96" i="2"/>
  <c r="AS96" i="2"/>
  <c r="AR96" i="2"/>
  <c r="AQ96" i="2"/>
  <c r="AP96" i="2"/>
  <c r="AL96" i="2"/>
  <c r="AK96" i="2"/>
  <c r="AJ96" i="2"/>
  <c r="AI96" i="2"/>
  <c r="AH96" i="2"/>
  <c r="AG96" i="2"/>
  <c r="AF96" i="2"/>
  <c r="AE96" i="2"/>
  <c r="X96" i="2"/>
  <c r="O96" i="2"/>
  <c r="W96" i="2"/>
  <c r="AW95" i="2"/>
  <c r="AV95" i="2"/>
  <c r="AU95" i="2"/>
  <c r="AT95" i="2"/>
  <c r="AS95" i="2"/>
  <c r="AR95" i="2"/>
  <c r="AQ95" i="2"/>
  <c r="AP95" i="2"/>
  <c r="AP92" i="2"/>
  <c r="AP3" i="2"/>
  <c r="AO95" i="2"/>
  <c r="AL95" i="2"/>
  <c r="AK95" i="2"/>
  <c r="AJ95" i="2"/>
  <c r="AJ92" i="2"/>
  <c r="AJ102" i="2"/>
  <c r="AI95" i="2"/>
  <c r="AH95" i="2"/>
  <c r="AG95" i="2"/>
  <c r="AF95" i="2"/>
  <c r="AF92" i="2"/>
  <c r="AF3" i="2"/>
  <c r="AE95" i="2"/>
  <c r="AD95" i="2"/>
  <c r="X95" i="2"/>
  <c r="O95" i="2"/>
  <c r="W95" i="2"/>
  <c r="AW94" i="2"/>
  <c r="AV94" i="2"/>
  <c r="AU94" i="2"/>
  <c r="AT94" i="2"/>
  <c r="AS94" i="2"/>
  <c r="AL94" i="2"/>
  <c r="AK94" i="2"/>
  <c r="AJ94" i="2"/>
  <c r="AI94" i="2"/>
  <c r="AH94" i="2"/>
  <c r="AH69" i="2"/>
  <c r="AH72" i="2"/>
  <c r="AH6" i="2"/>
  <c r="X94" i="2"/>
  <c r="O94" i="2"/>
  <c r="W94" i="2"/>
  <c r="AW93" i="2"/>
  <c r="AV93" i="2"/>
  <c r="AS93" i="2"/>
  <c r="AR93" i="2"/>
  <c r="AR4" i="2"/>
  <c r="AQ93" i="2"/>
  <c r="AO93" i="2"/>
  <c r="AO4" i="2"/>
  <c r="AL93" i="2"/>
  <c r="AK93" i="2"/>
  <c r="AJ93" i="2"/>
  <c r="AI93" i="2"/>
  <c r="AI4" i="2"/>
  <c r="AH93" i="2"/>
  <c r="AH4" i="2"/>
  <c r="AF93" i="2"/>
  <c r="AE93" i="2"/>
  <c r="AE4" i="2"/>
  <c r="AD93" i="2"/>
  <c r="AD4" i="2"/>
  <c r="O93" i="2"/>
  <c r="W93" i="2"/>
  <c r="AW92" i="2"/>
  <c r="AV92" i="2"/>
  <c r="AU92" i="2"/>
  <c r="AT92" i="2"/>
  <c r="AS92" i="2"/>
  <c r="AR92" i="2"/>
  <c r="AQ92" i="2"/>
  <c r="AO92" i="2"/>
  <c r="AO102" i="2"/>
  <c r="AL92" i="2"/>
  <c r="AK92" i="2"/>
  <c r="AI92" i="2"/>
  <c r="AI102" i="2"/>
  <c r="AH92" i="2"/>
  <c r="AG92" i="2"/>
  <c r="AF102" i="2"/>
  <c r="AE92" i="2"/>
  <c r="AE102" i="2"/>
  <c r="AD92" i="2"/>
  <c r="AD102" i="2"/>
  <c r="O92" i="2"/>
  <c r="W92" i="2"/>
  <c r="W102" i="2"/>
  <c r="L170" i="2"/>
  <c r="BH89" i="2"/>
  <c r="BG89" i="2"/>
  <c r="BG159" i="2"/>
  <c r="BF89" i="2"/>
  <c r="BD89" i="2"/>
  <c r="BC89" i="2"/>
  <c r="BC159" i="2"/>
  <c r="BB89" i="2"/>
  <c r="BA89" i="2"/>
  <c r="BA159" i="2"/>
  <c r="AZ89" i="2"/>
  <c r="AY89" i="2"/>
  <c r="AY159" i="2"/>
  <c r="AX89" i="2"/>
  <c r="AM89" i="2"/>
  <c r="AM159" i="2"/>
  <c r="AB89" i="2"/>
  <c r="AA89" i="2"/>
  <c r="Y89" i="2"/>
  <c r="R89" i="2"/>
  <c r="P89" i="2"/>
  <c r="N89" i="2"/>
  <c r="C50" i="2"/>
  <c r="C52" i="2"/>
  <c r="M80" i="2"/>
  <c r="M89" i="2"/>
  <c r="AU88" i="2"/>
  <c r="AT88" i="2"/>
  <c r="AS88" i="2"/>
  <c r="AR88" i="2"/>
  <c r="AQ88" i="2"/>
  <c r="AP88" i="2"/>
  <c r="AO88" i="2"/>
  <c r="AN88" i="2"/>
  <c r="AL88" i="2"/>
  <c r="AK88" i="2"/>
  <c r="AJ88" i="2"/>
  <c r="AH88" i="2"/>
  <c r="AG88" i="2"/>
  <c r="AF88" i="2"/>
  <c r="AE88" i="2"/>
  <c r="AD88" i="2"/>
  <c r="AD87" i="2"/>
  <c r="AD27" i="2"/>
  <c r="O88" i="2"/>
  <c r="W88" i="2"/>
  <c r="W207" i="2"/>
  <c r="O207" i="2"/>
  <c r="K88" i="2"/>
  <c r="K74" i="2"/>
  <c r="K79" i="2"/>
  <c r="K80" i="2"/>
  <c r="K83" i="2"/>
  <c r="K87" i="2"/>
  <c r="K2" i="2"/>
  <c r="K76" i="2"/>
  <c r="K84" i="2"/>
  <c r="K85" i="2"/>
  <c r="K3" i="2"/>
  <c r="K4" i="2"/>
  <c r="K5" i="2"/>
  <c r="K75" i="2"/>
  <c r="K82" i="2"/>
  <c r="K6" i="2"/>
  <c r="K7" i="2"/>
  <c r="K8" i="2"/>
  <c r="K9" i="2"/>
  <c r="K10" i="2"/>
  <c r="K11" i="2"/>
  <c r="K12" i="2"/>
  <c r="K13" i="2"/>
  <c r="K14" i="2"/>
  <c r="J88" i="2"/>
  <c r="J207" i="2"/>
  <c r="AU87" i="2"/>
  <c r="AU27" i="2"/>
  <c r="AT87" i="2"/>
  <c r="AS87" i="2"/>
  <c r="AR87" i="2"/>
  <c r="AQ87" i="2"/>
  <c r="AQ27" i="2"/>
  <c r="AP87" i="2"/>
  <c r="AP27" i="2"/>
  <c r="AO87" i="2"/>
  <c r="AL87" i="2"/>
  <c r="AK87" i="2"/>
  <c r="AJ87" i="2"/>
  <c r="AJ27" i="2"/>
  <c r="AH87" i="2"/>
  <c r="AG87" i="2"/>
  <c r="AF87" i="2"/>
  <c r="AF27" i="2"/>
  <c r="AE87" i="2"/>
  <c r="X87" i="2"/>
  <c r="O87" i="2"/>
  <c r="W87" i="2"/>
  <c r="O205" i="2"/>
  <c r="K205" i="2"/>
  <c r="J87" i="2"/>
  <c r="AW86" i="2"/>
  <c r="AV86" i="2"/>
  <c r="AU86" i="2"/>
  <c r="AT86" i="2"/>
  <c r="AS86" i="2"/>
  <c r="AS84" i="2"/>
  <c r="AS85" i="2"/>
  <c r="AS3" i="2"/>
  <c r="AR86" i="2"/>
  <c r="AL86" i="2"/>
  <c r="AK86" i="2"/>
  <c r="AJ86" i="2"/>
  <c r="AI86" i="2"/>
  <c r="AH86" i="2"/>
  <c r="AG86" i="2"/>
  <c r="AG85" i="2"/>
  <c r="AG3" i="2"/>
  <c r="X86" i="2"/>
  <c r="X201" i="2"/>
  <c r="O86" i="2"/>
  <c r="O201" i="2"/>
  <c r="AW85" i="2"/>
  <c r="AV85" i="2"/>
  <c r="AU85" i="2"/>
  <c r="AT85" i="2"/>
  <c r="AR85" i="2"/>
  <c r="AL85" i="2"/>
  <c r="AK85" i="2"/>
  <c r="AJ85" i="2"/>
  <c r="AI85" i="2"/>
  <c r="AH85" i="2"/>
  <c r="AH84" i="2"/>
  <c r="AH3" i="2"/>
  <c r="L85" i="2"/>
  <c r="L202" i="2"/>
  <c r="J202" i="2"/>
  <c r="AW84" i="2"/>
  <c r="AV84" i="2"/>
  <c r="AU84" i="2"/>
  <c r="AT84" i="2"/>
  <c r="AT62" i="2"/>
  <c r="AT3" i="2"/>
  <c r="AL84" i="2"/>
  <c r="AK84" i="2"/>
  <c r="AJ84" i="2"/>
  <c r="AI84" i="2"/>
  <c r="L84" i="2"/>
  <c r="X84" i="2"/>
  <c r="X200" i="2"/>
  <c r="K200" i="2"/>
  <c r="AW83" i="2"/>
  <c r="AV83" i="2"/>
  <c r="AU83" i="2"/>
  <c r="AT83" i="2"/>
  <c r="AT79" i="2"/>
  <c r="AT80" i="2"/>
  <c r="AT81" i="2"/>
  <c r="AT25" i="2"/>
  <c r="AS83" i="2"/>
  <c r="AR83" i="2"/>
  <c r="AQ83" i="2"/>
  <c r="AP83" i="2"/>
  <c r="AO83" i="2"/>
  <c r="AO64" i="2"/>
  <c r="AO74" i="2"/>
  <c r="AO79" i="2"/>
  <c r="AO80" i="2"/>
  <c r="AO81" i="2"/>
  <c r="AO2" i="2"/>
  <c r="AL83" i="2"/>
  <c r="AK83" i="2"/>
  <c r="AJ83" i="2"/>
  <c r="AI83" i="2"/>
  <c r="AH83" i="2"/>
  <c r="AG83" i="2"/>
  <c r="AF83" i="2"/>
  <c r="AE83" i="2"/>
  <c r="AD83" i="2"/>
  <c r="L83" i="2"/>
  <c r="X83" i="2"/>
  <c r="L172" i="2"/>
  <c r="L188" i="2"/>
  <c r="AW82" i="2"/>
  <c r="AV82" i="2"/>
  <c r="AU82" i="2"/>
  <c r="AL82" i="2"/>
  <c r="AK82" i="2"/>
  <c r="AJ82" i="2"/>
  <c r="O82" i="2"/>
  <c r="S82" i="2"/>
  <c r="W82" i="2"/>
  <c r="S172" i="2"/>
  <c r="X82" i="2"/>
  <c r="AP80" i="2"/>
  <c r="AP81" i="2"/>
  <c r="AP79" i="2"/>
  <c r="AP25" i="2"/>
  <c r="AK80" i="2"/>
  <c r="AK81" i="2"/>
  <c r="X81" i="2"/>
  <c r="O81" i="2"/>
  <c r="W81" i="2"/>
  <c r="AW80" i="2"/>
  <c r="AW81" i="2"/>
  <c r="AV80" i="2"/>
  <c r="AV81" i="2"/>
  <c r="AU80" i="2"/>
  <c r="AU81" i="2"/>
  <c r="AS80" i="2"/>
  <c r="AS81" i="2"/>
  <c r="AR80" i="2"/>
  <c r="AR81" i="2"/>
  <c r="AQ80" i="2"/>
  <c r="AQ81" i="2"/>
  <c r="AN80" i="2"/>
  <c r="AL80" i="2"/>
  <c r="AJ80" i="2"/>
  <c r="AJ81" i="2"/>
  <c r="AI80" i="2"/>
  <c r="AI81" i="2"/>
  <c r="AH80" i="2"/>
  <c r="AH81" i="2"/>
  <c r="AG80" i="2"/>
  <c r="AG81" i="2"/>
  <c r="AG79" i="2"/>
  <c r="AG25" i="2"/>
  <c r="AF80" i="2"/>
  <c r="AF81" i="2"/>
  <c r="AE80" i="2"/>
  <c r="AD80" i="2"/>
  <c r="AD81" i="2"/>
  <c r="X80" i="2"/>
  <c r="O80" i="2"/>
  <c r="W80" i="2"/>
  <c r="M172" i="2"/>
  <c r="M188" i="2"/>
  <c r="AW79" i="2"/>
  <c r="AV79" i="2"/>
  <c r="AU79" i="2"/>
  <c r="AS79" i="2"/>
  <c r="AR79" i="2"/>
  <c r="AQ79" i="2"/>
  <c r="AL79" i="2"/>
  <c r="AK79" i="2"/>
  <c r="AJ79" i="2"/>
  <c r="AI79" i="2"/>
  <c r="AH79" i="2"/>
  <c r="AF79" i="2"/>
  <c r="AE79" i="2"/>
  <c r="AD79" i="2"/>
  <c r="O79" i="2"/>
  <c r="W79" i="2"/>
  <c r="AW78" i="2"/>
  <c r="AV78" i="2"/>
  <c r="AU78" i="2"/>
  <c r="AL78" i="2"/>
  <c r="AK78" i="2"/>
  <c r="AK25" i="2"/>
  <c r="AJ78" i="2"/>
  <c r="S78" i="2"/>
  <c r="X78" i="2"/>
  <c r="O78" i="2"/>
  <c r="V77" i="2"/>
  <c r="V171" i="2"/>
  <c r="V187" i="2"/>
  <c r="U77" i="2"/>
  <c r="U171" i="2"/>
  <c r="U187" i="2"/>
  <c r="T77" i="2"/>
  <c r="S77" i="2"/>
  <c r="X77" i="2"/>
  <c r="O77" i="2"/>
  <c r="X76" i="2"/>
  <c r="O76" i="2"/>
  <c r="W76" i="2"/>
  <c r="AW75" i="2"/>
  <c r="AV75" i="2"/>
  <c r="AU75" i="2"/>
  <c r="AL75" i="2"/>
  <c r="AL73" i="2"/>
  <c r="AL74" i="2"/>
  <c r="AL23" i="2"/>
  <c r="AK75" i="2"/>
  <c r="AJ75" i="2"/>
  <c r="S75" i="2"/>
  <c r="T75" i="2"/>
  <c r="X75" i="2"/>
  <c r="X171" i="2"/>
  <c r="X187" i="2"/>
  <c r="S171" i="2"/>
  <c r="S187" i="2"/>
  <c r="O75" i="2"/>
  <c r="K171" i="2"/>
  <c r="K187" i="2"/>
  <c r="J75" i="2"/>
  <c r="J171" i="2"/>
  <c r="J187" i="2"/>
  <c r="AW74" i="2"/>
  <c r="AV74" i="2"/>
  <c r="AU74" i="2"/>
  <c r="AT74" i="2"/>
  <c r="AS74" i="2"/>
  <c r="AQ74" i="2"/>
  <c r="AP74" i="2"/>
  <c r="AP23" i="2"/>
  <c r="AK74" i="2"/>
  <c r="AJ74" i="2"/>
  <c r="AI74" i="2"/>
  <c r="AG74" i="2"/>
  <c r="AF74" i="2"/>
  <c r="AF23" i="2"/>
  <c r="AE74" i="2"/>
  <c r="AD74" i="2"/>
  <c r="O74" i="2"/>
  <c r="W74" i="2"/>
  <c r="J74" i="2"/>
  <c r="J170" i="2"/>
  <c r="AW73" i="2"/>
  <c r="AW23" i="2"/>
  <c r="AV73" i="2"/>
  <c r="AV4" i="2"/>
  <c r="AK73" i="2"/>
  <c r="AJ73" i="2"/>
  <c r="O73" i="2"/>
  <c r="W73" i="2"/>
  <c r="AW72" i="2"/>
  <c r="AV72" i="2"/>
  <c r="AU72" i="2"/>
  <c r="AT72" i="2"/>
  <c r="AS72" i="2"/>
  <c r="AR72" i="2"/>
  <c r="AL72" i="2"/>
  <c r="AK72" i="2"/>
  <c r="AJ72" i="2"/>
  <c r="AI72" i="2"/>
  <c r="AG72" i="2"/>
  <c r="X72" i="2"/>
  <c r="O72" i="2"/>
  <c r="W72" i="2"/>
  <c r="AW71" i="2"/>
  <c r="AV71" i="2"/>
  <c r="AU71" i="2"/>
  <c r="AT71" i="2"/>
  <c r="AL71" i="2"/>
  <c r="AK71" i="2"/>
  <c r="AJ71" i="2"/>
  <c r="AI71" i="2"/>
  <c r="X71" i="2"/>
  <c r="O71" i="2"/>
  <c r="W71" i="2"/>
  <c r="X70" i="2"/>
  <c r="O70" i="2"/>
  <c r="W70" i="2"/>
  <c r="AW69" i="2"/>
  <c r="AV69" i="2"/>
  <c r="AV6" i="2"/>
  <c r="AU69" i="2"/>
  <c r="AT69" i="2"/>
  <c r="AS69" i="2"/>
  <c r="AS6" i="2"/>
  <c r="AR69" i="2"/>
  <c r="AR6" i="2"/>
  <c r="AL69" i="2"/>
  <c r="AK69" i="2"/>
  <c r="AJ69" i="2"/>
  <c r="AI69" i="2"/>
  <c r="AI6" i="2"/>
  <c r="AG69" i="2"/>
  <c r="X69" i="2"/>
  <c r="X6" i="2"/>
  <c r="O69" i="2"/>
  <c r="W69" i="2"/>
  <c r="X68" i="2"/>
  <c r="O68" i="2"/>
  <c r="W68" i="2"/>
  <c r="X67" i="2"/>
  <c r="O67" i="2"/>
  <c r="W67" i="2"/>
  <c r="AW66" i="2"/>
  <c r="AV66" i="2"/>
  <c r="AU66" i="2"/>
  <c r="AU5" i="2"/>
  <c r="AL66" i="2"/>
  <c r="AK66" i="2"/>
  <c r="AJ66" i="2"/>
  <c r="X66" i="2"/>
  <c r="O66" i="2"/>
  <c r="W66" i="2"/>
  <c r="AW65" i="2"/>
  <c r="AL65" i="2"/>
  <c r="AL5" i="2"/>
  <c r="X65" i="2"/>
  <c r="O65" i="2"/>
  <c r="W65" i="2"/>
  <c r="AW64" i="2"/>
  <c r="AV64" i="2"/>
  <c r="AU64" i="2"/>
  <c r="AT64" i="2"/>
  <c r="AS64" i="2"/>
  <c r="AS59" i="2"/>
  <c r="AS21" i="2"/>
  <c r="AR64" i="2"/>
  <c r="AQ64" i="2"/>
  <c r="AP64" i="2"/>
  <c r="AN64" i="2"/>
  <c r="AL64" i="2"/>
  <c r="AK64" i="2"/>
  <c r="AJ64" i="2"/>
  <c r="AI64" i="2"/>
  <c r="AH64" i="2"/>
  <c r="AG64" i="2"/>
  <c r="AF64" i="2"/>
  <c r="AE64" i="2"/>
  <c r="AD64" i="2"/>
  <c r="X64" i="2"/>
  <c r="O64" i="2"/>
  <c r="W64" i="2"/>
  <c r="U63" i="2"/>
  <c r="U170" i="2"/>
  <c r="T63" i="2"/>
  <c r="S63" i="2"/>
  <c r="X63" i="2"/>
  <c r="O63" i="2"/>
  <c r="AW62" i="2"/>
  <c r="AV62" i="2"/>
  <c r="AU62" i="2"/>
  <c r="AL62" i="2"/>
  <c r="AK62" i="2"/>
  <c r="AJ62" i="2"/>
  <c r="AJ3" i="2"/>
  <c r="AI62" i="2"/>
  <c r="Q62" i="2"/>
  <c r="X62" i="2"/>
  <c r="Q170" i="2"/>
  <c r="O62" i="2"/>
  <c r="W62" i="2"/>
  <c r="AW61" i="2"/>
  <c r="AV61" i="2"/>
  <c r="AL61" i="2"/>
  <c r="AK61" i="2"/>
  <c r="AK3" i="2"/>
  <c r="X61" i="2"/>
  <c r="O61" i="2"/>
  <c r="W61" i="2"/>
  <c r="X60" i="2"/>
  <c r="O60" i="2"/>
  <c r="W60" i="2"/>
  <c r="AW59" i="2"/>
  <c r="AV59" i="2"/>
  <c r="AU59" i="2"/>
  <c r="AT59" i="2"/>
  <c r="AR59" i="2"/>
  <c r="AQ59" i="2"/>
  <c r="AQ89" i="2"/>
  <c r="AL59" i="2"/>
  <c r="AK59" i="2"/>
  <c r="AJ59" i="2"/>
  <c r="AI59" i="2"/>
  <c r="AI21" i="2"/>
  <c r="AH59" i="2"/>
  <c r="AG59" i="2"/>
  <c r="AF59" i="2"/>
  <c r="X59" i="2"/>
  <c r="O59" i="2"/>
  <c r="BH51" i="2"/>
  <c r="BG51" i="2"/>
  <c r="BF51" i="2"/>
  <c r="BE51" i="2"/>
  <c r="BD51" i="2"/>
  <c r="BC51" i="2"/>
  <c r="BB51" i="2"/>
  <c r="BA51" i="2"/>
  <c r="AZ51" i="2"/>
  <c r="AY51" i="2"/>
  <c r="AX51" i="2"/>
  <c r="AW51" i="2"/>
  <c r="AV51" i="2"/>
  <c r="AU51" i="2"/>
  <c r="AT51" i="2"/>
  <c r="AS51" i="2"/>
  <c r="AR51" i="2"/>
  <c r="AQ51" i="2"/>
  <c r="AP51" i="2"/>
  <c r="AO51" i="2"/>
  <c r="AN51" i="2"/>
  <c r="AM51" i="2"/>
  <c r="AL43" i="2"/>
  <c r="AL44" i="2"/>
  <c r="AL45" i="2"/>
  <c r="AL46" i="2"/>
  <c r="AL51" i="2"/>
  <c r="AJ43" i="2"/>
  <c r="AJ44" i="2"/>
  <c r="AJ45" i="2"/>
  <c r="AJ46" i="2"/>
  <c r="AJ51" i="2"/>
  <c r="AH43" i="2"/>
  <c r="AH44" i="2"/>
  <c r="AH45" i="2"/>
  <c r="AH46" i="2"/>
  <c r="AH51" i="2"/>
  <c r="AD44" i="2"/>
  <c r="AD51" i="2"/>
  <c r="AB51" i="2"/>
  <c r="F50" i="2"/>
  <c r="D50" i="2"/>
  <c r="B50" i="2"/>
  <c r="C47" i="2"/>
  <c r="AK46" i="2"/>
  <c r="AI46" i="2"/>
  <c r="AG46" i="2"/>
  <c r="AF46" i="2"/>
  <c r="AE46" i="2"/>
  <c r="AK45" i="2"/>
  <c r="AI45" i="2"/>
  <c r="AG45" i="2"/>
  <c r="AF45" i="2"/>
  <c r="AF43" i="2"/>
  <c r="AF44" i="2"/>
  <c r="AF51" i="2"/>
  <c r="AK44" i="2"/>
  <c r="AI44" i="2"/>
  <c r="AG44" i="2"/>
  <c r="AE44" i="2"/>
  <c r="AC44" i="2"/>
  <c r="AC51" i="2"/>
  <c r="AK43" i="2"/>
  <c r="AI43" i="2"/>
  <c r="AI51" i="2"/>
  <c r="AG43" i="2"/>
  <c r="AE43" i="2"/>
  <c r="AE51" i="2"/>
  <c r="L41" i="2"/>
  <c r="O41" i="2"/>
  <c r="O39" i="2"/>
  <c r="W39" i="2"/>
  <c r="X39" i="2"/>
  <c r="AN30" i="2"/>
  <c r="AN31" i="2"/>
  <c r="AN32" i="2"/>
  <c r="AN33" i="2"/>
  <c r="AN34" i="2"/>
  <c r="AF30" i="2"/>
  <c r="AF31" i="2"/>
  <c r="AF32" i="2"/>
  <c r="AF33" i="2"/>
  <c r="AF34" i="2"/>
  <c r="U30" i="2"/>
  <c r="U31" i="2"/>
  <c r="U32" i="2"/>
  <c r="U33" i="2"/>
  <c r="U34" i="2"/>
  <c r="M30" i="2"/>
  <c r="M31" i="2"/>
  <c r="M32" i="2"/>
  <c r="M33" i="2"/>
  <c r="M34" i="2"/>
  <c r="BH33" i="2"/>
  <c r="BG33" i="2"/>
  <c r="BF33" i="2"/>
  <c r="BE33" i="2"/>
  <c r="BD33" i="2"/>
  <c r="BC33" i="2"/>
  <c r="BB33" i="2"/>
  <c r="BA33" i="2"/>
  <c r="AZ33" i="2"/>
  <c r="AY33" i="2"/>
  <c r="AX33" i="2"/>
  <c r="AU33" i="2"/>
  <c r="AS33" i="2"/>
  <c r="AO33" i="2"/>
  <c r="AM33" i="2"/>
  <c r="AL33" i="2"/>
  <c r="AK33" i="2"/>
  <c r="AJ33" i="2"/>
  <c r="AI33" i="2"/>
  <c r="AH33" i="2"/>
  <c r="AG33" i="2"/>
  <c r="AE33" i="2"/>
  <c r="AD33" i="2"/>
  <c r="AB33" i="2"/>
  <c r="V33" i="2"/>
  <c r="T33" i="2"/>
  <c r="S33" i="2"/>
  <c r="R33" i="2"/>
  <c r="P33" i="2"/>
  <c r="N33" i="2"/>
  <c r="L33" i="2"/>
  <c r="K33" i="2"/>
  <c r="BH32" i="2"/>
  <c r="BH30" i="2"/>
  <c r="BH31" i="2"/>
  <c r="BH34" i="2"/>
  <c r="BG32" i="2"/>
  <c r="BF32" i="2"/>
  <c r="BE32" i="2"/>
  <c r="BD32" i="2"/>
  <c r="BD30" i="2"/>
  <c r="BD31" i="2"/>
  <c r="BD34" i="2"/>
  <c r="BC32" i="2"/>
  <c r="BB32" i="2"/>
  <c r="BA32" i="2"/>
  <c r="AZ32" i="2"/>
  <c r="AZ30" i="2"/>
  <c r="AZ31" i="2"/>
  <c r="AZ34" i="2"/>
  <c r="AY32" i="2"/>
  <c r="AX32" i="2"/>
  <c r="AT32" i="2"/>
  <c r="AM32" i="2"/>
  <c r="AL32" i="2"/>
  <c r="AK32" i="2"/>
  <c r="AJ32" i="2"/>
  <c r="AJ30" i="2"/>
  <c r="AJ31" i="2"/>
  <c r="AJ34" i="2"/>
  <c r="AI32" i="2"/>
  <c r="AH32" i="2"/>
  <c r="AG32" i="2"/>
  <c r="AE32" i="2"/>
  <c r="AD32" i="2"/>
  <c r="AB32" i="2"/>
  <c r="AB30" i="2"/>
  <c r="AB31" i="2"/>
  <c r="AB34" i="2"/>
  <c r="V32" i="2"/>
  <c r="T32" i="2"/>
  <c r="S32" i="2"/>
  <c r="R32" i="2"/>
  <c r="Q32" i="2"/>
  <c r="P32" i="2"/>
  <c r="O32" i="2"/>
  <c r="N32" i="2"/>
  <c r="L32" i="2"/>
  <c r="K32" i="2"/>
  <c r="BG31" i="2"/>
  <c r="BF31" i="2"/>
  <c r="BE31" i="2"/>
  <c r="BC31" i="2"/>
  <c r="BB31" i="2"/>
  <c r="BA31" i="2"/>
  <c r="AY31" i="2"/>
  <c r="AX31" i="2"/>
  <c r="AW31" i="2"/>
  <c r="AT31" i="2"/>
  <c r="AS31" i="2"/>
  <c r="AP31" i="2"/>
  <c r="AO31" i="2"/>
  <c r="AM31" i="2"/>
  <c r="AL31" i="2"/>
  <c r="AK31" i="2"/>
  <c r="AI31" i="2"/>
  <c r="AH31" i="2"/>
  <c r="AG31" i="2"/>
  <c r="AE31" i="2"/>
  <c r="AD31" i="2"/>
  <c r="X31" i="2"/>
  <c r="W31" i="2"/>
  <c r="V31" i="2"/>
  <c r="T31" i="2"/>
  <c r="S31" i="2"/>
  <c r="R31" i="2"/>
  <c r="Q31" i="2"/>
  <c r="P31" i="2"/>
  <c r="O31" i="2"/>
  <c r="N31" i="2"/>
  <c r="L31" i="2"/>
  <c r="K31" i="2"/>
  <c r="BG30" i="2"/>
  <c r="BG34" i="2"/>
  <c r="BF30" i="2"/>
  <c r="BF34" i="2"/>
  <c r="BE30" i="2"/>
  <c r="BE34" i="2"/>
  <c r="BC30" i="2"/>
  <c r="BC34" i="2"/>
  <c r="BB30" i="2"/>
  <c r="BB34" i="2"/>
  <c r="BA30" i="2"/>
  <c r="BA34" i="2"/>
  <c r="AY30" i="2"/>
  <c r="AY34" i="2"/>
  <c r="AX30" i="2"/>
  <c r="AX34" i="2"/>
  <c r="AW30" i="2"/>
  <c r="AT30" i="2"/>
  <c r="AS30" i="2"/>
  <c r="AP30" i="2"/>
  <c r="AO30" i="2"/>
  <c r="AM30" i="2"/>
  <c r="AM34" i="2"/>
  <c r="AL30" i="2"/>
  <c r="AL34" i="2"/>
  <c r="AK30" i="2"/>
  <c r="AK34" i="2"/>
  <c r="AI30" i="2"/>
  <c r="AI34" i="2"/>
  <c r="AH30" i="2"/>
  <c r="AH34" i="2"/>
  <c r="AG30" i="2"/>
  <c r="AG34" i="2"/>
  <c r="AE30" i="2"/>
  <c r="AE34" i="2"/>
  <c r="AD30" i="2"/>
  <c r="AD34" i="2"/>
  <c r="V30" i="2"/>
  <c r="T30" i="2"/>
  <c r="S30" i="2"/>
  <c r="S34" i="2"/>
  <c r="R30" i="2"/>
  <c r="Q30" i="2"/>
  <c r="P30" i="2"/>
  <c r="P34" i="2"/>
  <c r="N30" i="2"/>
  <c r="L30" i="2"/>
  <c r="K30" i="2"/>
  <c r="K34" i="2"/>
  <c r="BH27" i="2"/>
  <c r="BG27" i="2"/>
  <c r="BF27" i="2"/>
  <c r="BE27" i="2"/>
  <c r="BD27" i="2"/>
  <c r="BC27" i="2"/>
  <c r="BB27" i="2"/>
  <c r="BA27" i="2"/>
  <c r="AZ27" i="2"/>
  <c r="AY27" i="2"/>
  <c r="AX27" i="2"/>
  <c r="AR27" i="2"/>
  <c r="AO27" i="2"/>
  <c r="AN27" i="2"/>
  <c r="AM27" i="2"/>
  <c r="AE27" i="2"/>
  <c r="AB27" i="2"/>
  <c r="V27" i="2"/>
  <c r="U27" i="2"/>
  <c r="T27" i="2"/>
  <c r="S27" i="2"/>
  <c r="R27" i="2"/>
  <c r="Q27" i="2"/>
  <c r="P27" i="2"/>
  <c r="N27" i="2"/>
  <c r="M27" i="2"/>
  <c r="L27" i="2"/>
  <c r="BH25" i="2"/>
  <c r="BG25" i="2"/>
  <c r="BF25" i="2"/>
  <c r="BE25" i="2"/>
  <c r="BE21" i="2"/>
  <c r="BE23" i="2"/>
  <c r="BE28" i="2"/>
  <c r="BE36" i="2"/>
  <c r="BE37" i="2"/>
  <c r="BD25" i="2"/>
  <c r="BC25" i="2"/>
  <c r="BB25" i="2"/>
  <c r="BA25" i="2"/>
  <c r="BA21" i="2"/>
  <c r="BA23" i="2"/>
  <c r="BA28" i="2"/>
  <c r="BA36" i="2"/>
  <c r="BA37" i="2"/>
  <c r="AZ25" i="2"/>
  <c r="AY25" i="2"/>
  <c r="AX25" i="2"/>
  <c r="AM25" i="2"/>
  <c r="AB25" i="2"/>
  <c r="V25" i="2"/>
  <c r="U25" i="2"/>
  <c r="T25" i="2"/>
  <c r="S25" i="2"/>
  <c r="R25" i="2"/>
  <c r="R21" i="2"/>
  <c r="R23" i="2"/>
  <c r="R28" i="2"/>
  <c r="Q25" i="2"/>
  <c r="P25" i="2"/>
  <c r="N25" i="2"/>
  <c r="M25" i="2"/>
  <c r="L25" i="2"/>
  <c r="K25" i="2"/>
  <c r="BH23" i="2"/>
  <c r="BG23" i="2"/>
  <c r="BF23" i="2"/>
  <c r="BD23" i="2"/>
  <c r="BC23" i="2"/>
  <c r="BB23" i="2"/>
  <c r="AZ23" i="2"/>
  <c r="AY23" i="2"/>
  <c r="AX23" i="2"/>
  <c r="AQ23" i="2"/>
  <c r="AO23" i="2"/>
  <c r="AN23" i="2"/>
  <c r="AM23" i="2"/>
  <c r="AI23" i="2"/>
  <c r="AE23" i="2"/>
  <c r="AD23" i="2"/>
  <c r="AB23" i="2"/>
  <c r="V23" i="2"/>
  <c r="U23" i="2"/>
  <c r="S23" i="2"/>
  <c r="Q23" i="2"/>
  <c r="P23" i="2"/>
  <c r="N23" i="2"/>
  <c r="N21" i="2"/>
  <c r="N28" i="2"/>
  <c r="M23" i="2"/>
  <c r="L23" i="2"/>
  <c r="K23" i="2"/>
  <c r="BH21" i="2"/>
  <c r="BG21" i="2"/>
  <c r="BF21" i="2"/>
  <c r="BF28" i="2"/>
  <c r="BD21" i="2"/>
  <c r="BC21" i="2"/>
  <c r="BB21" i="2"/>
  <c r="AZ21" i="2"/>
  <c r="AY21" i="2"/>
  <c r="AX21" i="2"/>
  <c r="AX28" i="2"/>
  <c r="AM21" i="2"/>
  <c r="AB21" i="2"/>
  <c r="AB28" i="2"/>
  <c r="V21" i="2"/>
  <c r="V28" i="2"/>
  <c r="U21" i="2"/>
  <c r="T21" i="2"/>
  <c r="Q21" i="2"/>
  <c r="P21" i="2"/>
  <c r="M21" i="2"/>
  <c r="K21" i="2"/>
  <c r="L16" i="2"/>
  <c r="M16" i="2"/>
  <c r="O16" i="2"/>
  <c r="W16" i="2"/>
  <c r="X16"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X12" i="2"/>
  <c r="W12" i="2"/>
  <c r="V12" i="2"/>
  <c r="U12" i="2"/>
  <c r="T12" i="2"/>
  <c r="S12" i="2"/>
  <c r="R12" i="2"/>
  <c r="Q12" i="2"/>
  <c r="P12" i="2"/>
  <c r="O12" i="2"/>
  <c r="N12" i="2"/>
  <c r="M12" i="2"/>
  <c r="L12" i="2"/>
  <c r="BH11" i="2"/>
  <c r="BG11" i="2"/>
  <c r="BF11" i="2"/>
  <c r="BE11" i="2"/>
  <c r="BD11" i="2"/>
  <c r="BC11" i="2"/>
  <c r="BB11" i="2"/>
  <c r="BA11" i="2"/>
  <c r="AZ11" i="2"/>
  <c r="AY11" i="2"/>
  <c r="AX11" i="2"/>
  <c r="AW11" i="2"/>
  <c r="AV11" i="2"/>
  <c r="AU11" i="2"/>
  <c r="AS11" i="2"/>
  <c r="AR11" i="2"/>
  <c r="AQ11" i="2"/>
  <c r="AO11" i="2"/>
  <c r="AN11" i="2"/>
  <c r="AM11" i="2"/>
  <c r="AL11" i="2"/>
  <c r="AK11" i="2"/>
  <c r="AJ11" i="2"/>
  <c r="AI11" i="2"/>
  <c r="AH11" i="2"/>
  <c r="AG11" i="2"/>
  <c r="AG8" i="2"/>
  <c r="AG9" i="2"/>
  <c r="AG10" i="2"/>
  <c r="AG13" i="2"/>
  <c r="AF11" i="2"/>
  <c r="AE11" i="2"/>
  <c r="AD11" i="2"/>
  <c r="AC11" i="2"/>
  <c r="AB11" i="2"/>
  <c r="V11" i="2"/>
  <c r="U11" i="2"/>
  <c r="T11" i="2"/>
  <c r="S11" i="2"/>
  <c r="R11" i="2"/>
  <c r="Q11" i="2"/>
  <c r="P11" i="2"/>
  <c r="N11" i="2"/>
  <c r="M11" i="2"/>
  <c r="L11" i="2"/>
  <c r="BH10" i="2"/>
  <c r="BH8" i="2"/>
  <c r="BH9" i="2"/>
  <c r="BH13" i="2"/>
  <c r="BG10" i="2"/>
  <c r="BF10" i="2"/>
  <c r="BE10" i="2"/>
  <c r="BD10" i="2"/>
  <c r="BC10" i="2"/>
  <c r="BB10" i="2"/>
  <c r="BA10" i="2"/>
  <c r="AZ10" i="2"/>
  <c r="AY10" i="2"/>
  <c r="AX10" i="2"/>
  <c r="AV10" i="2"/>
  <c r="AU10" i="2"/>
  <c r="AR10" i="2"/>
  <c r="AQ10" i="2"/>
  <c r="AO10" i="2"/>
  <c r="AN10" i="2"/>
  <c r="AM10" i="2"/>
  <c r="AL10" i="2"/>
  <c r="AK10" i="2"/>
  <c r="AJ10" i="2"/>
  <c r="AI10" i="2"/>
  <c r="AH10" i="2"/>
  <c r="AF10" i="2"/>
  <c r="AE10" i="2"/>
  <c r="AD10" i="2"/>
  <c r="AC10" i="2"/>
  <c r="AB10" i="2"/>
  <c r="AB8" i="2"/>
  <c r="AB9" i="2"/>
  <c r="AB13" i="2"/>
  <c r="X10" i="2"/>
  <c r="W10" i="2"/>
  <c r="V10" i="2"/>
  <c r="U10" i="2"/>
  <c r="T10" i="2"/>
  <c r="S10" i="2"/>
  <c r="R10" i="2"/>
  <c r="Q10" i="2"/>
  <c r="P10" i="2"/>
  <c r="O10" i="2"/>
  <c r="N10" i="2"/>
  <c r="M10" i="2"/>
  <c r="L10" i="2"/>
  <c r="BG9" i="2"/>
  <c r="BF9" i="2"/>
  <c r="BE9" i="2"/>
  <c r="BE8" i="2"/>
  <c r="BE13" i="2"/>
  <c r="BD9" i="2"/>
  <c r="BC9" i="2"/>
  <c r="BB9" i="2"/>
  <c r="BA9" i="2"/>
  <c r="AZ9" i="2"/>
  <c r="AY9" i="2"/>
  <c r="AX9" i="2"/>
  <c r="AT9" i="2"/>
  <c r="AP9" i="2"/>
  <c r="AN9" i="2"/>
  <c r="AM9" i="2"/>
  <c r="AL9" i="2"/>
  <c r="AK9" i="2"/>
  <c r="AJ9" i="2"/>
  <c r="AI9" i="2"/>
  <c r="AH9" i="2"/>
  <c r="AF9" i="2"/>
  <c r="AE9" i="2"/>
  <c r="AD9" i="2"/>
  <c r="AC9" i="2"/>
  <c r="AC8" i="2"/>
  <c r="AC13" i="2"/>
  <c r="V9" i="2"/>
  <c r="V8" i="2"/>
  <c r="V13" i="2"/>
  <c r="U9" i="2"/>
  <c r="T9" i="2"/>
  <c r="T8" i="2"/>
  <c r="T13" i="2"/>
  <c r="S9" i="2"/>
  <c r="R9" i="2"/>
  <c r="R8" i="2"/>
  <c r="R13" i="2"/>
  <c r="Q9" i="2"/>
  <c r="P9" i="2"/>
  <c r="P8" i="2"/>
  <c r="P13" i="2"/>
  <c r="O9" i="2"/>
  <c r="N9" i="2"/>
  <c r="N8" i="2"/>
  <c r="N13" i="2"/>
  <c r="M9" i="2"/>
  <c r="L9" i="2"/>
  <c r="L8" i="2"/>
  <c r="L13" i="2"/>
  <c r="BG8" i="2"/>
  <c r="BF8" i="2"/>
  <c r="BF13" i="2"/>
  <c r="BD8" i="2"/>
  <c r="BD13" i="2"/>
  <c r="BC8" i="2"/>
  <c r="BB8" i="2"/>
  <c r="BB13" i="2"/>
  <c r="BA8" i="2"/>
  <c r="BA13" i="2"/>
  <c r="AZ8" i="2"/>
  <c r="AZ13" i="2"/>
  <c r="AY8" i="2"/>
  <c r="AX8" i="2"/>
  <c r="AX13" i="2"/>
  <c r="AV8" i="2"/>
  <c r="AR8" i="2"/>
  <c r="AQ8" i="2"/>
  <c r="AP8" i="2"/>
  <c r="AO8" i="2"/>
  <c r="AN8" i="2"/>
  <c r="AN13" i="2"/>
  <c r="AM8" i="2"/>
  <c r="AL8" i="2"/>
  <c r="AL13" i="2"/>
  <c r="AK8" i="2"/>
  <c r="AK13" i="2"/>
  <c r="AJ8" i="2"/>
  <c r="AJ13" i="2"/>
  <c r="AI8" i="2"/>
  <c r="AI13" i="2"/>
  <c r="AH8" i="2"/>
  <c r="AH13" i="2"/>
  <c r="AF8" i="2"/>
  <c r="AF13" i="2"/>
  <c r="AE8" i="2"/>
  <c r="AD8" i="2"/>
  <c r="AD13" i="2"/>
  <c r="U8" i="2"/>
  <c r="U13" i="2"/>
  <c r="S8" i="2"/>
  <c r="S13" i="2"/>
  <c r="Q8" i="2"/>
  <c r="Q13" i="2"/>
  <c r="M8" i="2"/>
  <c r="M13" i="2"/>
  <c r="V2" i="2"/>
  <c r="V3" i="2"/>
  <c r="V4" i="2"/>
  <c r="V5" i="2"/>
  <c r="V6" i="2"/>
  <c r="V7" i="2"/>
  <c r="V14" i="2"/>
  <c r="V17" i="2"/>
  <c r="BH6" i="2"/>
  <c r="BG6" i="2"/>
  <c r="BF6" i="2"/>
  <c r="BE6" i="2"/>
  <c r="BD6" i="2"/>
  <c r="BC6" i="2"/>
  <c r="BB6" i="2"/>
  <c r="BA6" i="2"/>
  <c r="AZ6" i="2"/>
  <c r="AY6" i="2"/>
  <c r="AX6" i="2"/>
  <c r="AT6" i="2"/>
  <c r="AP6" i="2"/>
  <c r="AO6" i="2"/>
  <c r="AN6" i="2"/>
  <c r="AM6" i="2"/>
  <c r="AJ6" i="2"/>
  <c r="AE6" i="2"/>
  <c r="AD6" i="2"/>
  <c r="AC6" i="2"/>
  <c r="AB6" i="2"/>
  <c r="U6" i="2"/>
  <c r="T6" i="2"/>
  <c r="S6" i="2"/>
  <c r="R6" i="2"/>
  <c r="Q6" i="2"/>
  <c r="P6" i="2"/>
  <c r="N6" i="2"/>
  <c r="M6" i="2"/>
  <c r="L6" i="2"/>
  <c r="BH5" i="2"/>
  <c r="BG5" i="2"/>
  <c r="BF5" i="2"/>
  <c r="BE5" i="2"/>
  <c r="BD5" i="2"/>
  <c r="BC5" i="2"/>
  <c r="BB5" i="2"/>
  <c r="BA5" i="2"/>
  <c r="AZ5" i="2"/>
  <c r="AY5" i="2"/>
  <c r="AX5" i="2"/>
  <c r="AT5" i="2"/>
  <c r="AS5" i="2"/>
  <c r="AR5" i="2"/>
  <c r="AQ5" i="2"/>
  <c r="AP5" i="2"/>
  <c r="AO5" i="2"/>
  <c r="AN5" i="2"/>
  <c r="AM5" i="2"/>
  <c r="AI5" i="2"/>
  <c r="AH5" i="2"/>
  <c r="AG5" i="2"/>
  <c r="AF5" i="2"/>
  <c r="AE5" i="2"/>
  <c r="AD5" i="2"/>
  <c r="AC5" i="2"/>
  <c r="AB5" i="2"/>
  <c r="X5" i="2"/>
  <c r="U5" i="2"/>
  <c r="T5" i="2"/>
  <c r="S5" i="2"/>
  <c r="R5" i="2"/>
  <c r="Q5" i="2"/>
  <c r="P5" i="2"/>
  <c r="N5" i="2"/>
  <c r="M5" i="2"/>
  <c r="L5" i="2"/>
  <c r="BH4" i="2"/>
  <c r="BG4" i="2"/>
  <c r="BF4" i="2"/>
  <c r="BE4" i="2"/>
  <c r="BD4" i="2"/>
  <c r="BC4" i="2"/>
  <c r="BB4" i="2"/>
  <c r="BA4" i="2"/>
  <c r="AZ4" i="2"/>
  <c r="AY4" i="2"/>
  <c r="AX4" i="2"/>
  <c r="AQ4" i="2"/>
  <c r="AN4" i="2"/>
  <c r="AM4" i="2"/>
  <c r="AL4" i="2"/>
  <c r="AF4" i="2"/>
  <c r="AC4" i="2"/>
  <c r="AB4" i="2"/>
  <c r="W4" i="2"/>
  <c r="U4" i="2"/>
  <c r="T4" i="2"/>
  <c r="S4" i="2"/>
  <c r="R4" i="2"/>
  <c r="Q4" i="2"/>
  <c r="P4" i="2"/>
  <c r="O4" i="2"/>
  <c r="N4" i="2"/>
  <c r="M4" i="2"/>
  <c r="L4" i="2"/>
  <c r="BH3" i="2"/>
  <c r="BG3" i="2"/>
  <c r="BF3" i="2"/>
  <c r="BE3" i="2"/>
  <c r="BD3" i="2"/>
  <c r="BC3" i="2"/>
  <c r="BB3" i="2"/>
  <c r="BA3" i="2"/>
  <c r="AZ3" i="2"/>
  <c r="AY3" i="2"/>
  <c r="AX3" i="2"/>
  <c r="AW3" i="2"/>
  <c r="AO3" i="2"/>
  <c r="AN3" i="2"/>
  <c r="AM3" i="2"/>
  <c r="AD3" i="2"/>
  <c r="AC3" i="2"/>
  <c r="AB3" i="2"/>
  <c r="T3" i="2"/>
  <c r="T2" i="2"/>
  <c r="T7" i="2"/>
  <c r="S3" i="2"/>
  <c r="R3" i="2"/>
  <c r="R2" i="2"/>
  <c r="R7" i="2"/>
  <c r="R14" i="2"/>
  <c r="Q3" i="2"/>
  <c r="P3" i="2"/>
  <c r="P2" i="2"/>
  <c r="P7" i="2"/>
  <c r="N3" i="2"/>
  <c r="N2" i="2"/>
  <c r="N7" i="2"/>
  <c r="N14" i="2"/>
  <c r="M3" i="2"/>
  <c r="L3" i="2"/>
  <c r="L2" i="2"/>
  <c r="L7" i="2"/>
  <c r="BH2" i="2"/>
  <c r="BG2" i="2"/>
  <c r="BF2" i="2"/>
  <c r="BF7" i="2"/>
  <c r="BF14" i="2"/>
  <c r="BE2" i="2"/>
  <c r="BD2" i="2"/>
  <c r="BC2" i="2"/>
  <c r="BB2" i="2"/>
  <c r="BB7" i="2"/>
  <c r="BB14" i="2"/>
  <c r="BA2" i="2"/>
  <c r="AZ2" i="2"/>
  <c r="AY2" i="2"/>
  <c r="AX2" i="2"/>
  <c r="AX7" i="2"/>
  <c r="AX14" i="2"/>
  <c r="AV2" i="2"/>
  <c r="AM2" i="2"/>
  <c r="AB2" i="2"/>
  <c r="AB7" i="2"/>
  <c r="U2" i="2"/>
  <c r="S2" i="2"/>
  <c r="Q2" i="2"/>
  <c r="Q7" i="2"/>
  <c r="M2" i="2"/>
  <c r="M7" i="2"/>
  <c r="G179" i="1"/>
  <c r="F179" i="1"/>
  <c r="E179" i="1"/>
  <c r="D179" i="1"/>
  <c r="C179" i="1"/>
  <c r="B179" i="1"/>
  <c r="G174" i="1"/>
  <c r="F174" i="1"/>
  <c r="E174" i="1"/>
  <c r="D174" i="1"/>
  <c r="C174" i="1"/>
  <c r="B174" i="1"/>
  <c r="G170" i="1"/>
  <c r="F170" i="1"/>
  <c r="F157" i="1"/>
  <c r="F162" i="1"/>
  <c r="F178" i="1"/>
  <c r="E170" i="1"/>
  <c r="D170" i="1"/>
  <c r="C170" i="1"/>
  <c r="B170" i="1"/>
  <c r="G162" i="1"/>
  <c r="E162" i="1"/>
  <c r="D162" i="1"/>
  <c r="C162" i="1"/>
  <c r="B162" i="1"/>
  <c r="F159" i="1"/>
  <c r="D158" i="1"/>
  <c r="G157" i="1"/>
  <c r="G159" i="1"/>
  <c r="E157" i="1"/>
  <c r="D157" i="1"/>
  <c r="C157" i="1"/>
  <c r="C159" i="1"/>
  <c r="B157" i="1"/>
  <c r="V136" i="1"/>
  <c r="V141" i="1"/>
  <c r="U136" i="1"/>
  <c r="U141" i="1"/>
  <c r="N136" i="1"/>
  <c r="N141" i="1"/>
  <c r="F136" i="1"/>
  <c r="F141" i="1"/>
  <c r="B136" i="1"/>
  <c r="B141" i="1"/>
  <c r="T136" i="1"/>
  <c r="T141" i="1"/>
  <c r="S136" i="1"/>
  <c r="S141" i="1"/>
  <c r="R136" i="1"/>
  <c r="R141" i="1"/>
  <c r="Q136" i="1"/>
  <c r="Q141" i="1"/>
  <c r="P136" i="1"/>
  <c r="P141" i="1"/>
  <c r="O136" i="1"/>
  <c r="O141" i="1"/>
  <c r="M136" i="1"/>
  <c r="M141" i="1"/>
  <c r="L136" i="1"/>
  <c r="L86" i="1"/>
  <c r="L137" i="1"/>
  <c r="K136" i="1"/>
  <c r="K141" i="1"/>
  <c r="J136" i="1"/>
  <c r="J141" i="1"/>
  <c r="I136" i="1"/>
  <c r="I141" i="1"/>
  <c r="H136" i="1"/>
  <c r="H141" i="1"/>
  <c r="G136" i="1"/>
  <c r="G141" i="1"/>
  <c r="E136" i="1"/>
  <c r="E141" i="1"/>
  <c r="D136" i="1"/>
  <c r="D141" i="1"/>
  <c r="C136" i="1"/>
  <c r="C141" i="1"/>
  <c r="L79" i="1"/>
  <c r="L129" i="1"/>
  <c r="L130" i="1"/>
  <c r="V129" i="1"/>
  <c r="U129" i="1"/>
  <c r="T129" i="1"/>
  <c r="S129" i="1"/>
  <c r="R129" i="1"/>
  <c r="Q129" i="1"/>
  <c r="P129" i="1"/>
  <c r="P79" i="1"/>
  <c r="P130" i="1"/>
  <c r="O129" i="1"/>
  <c r="N129" i="1"/>
  <c r="M129" i="1"/>
  <c r="C129" i="1"/>
  <c r="B129" i="1"/>
  <c r="E127" i="1"/>
  <c r="F127" i="1"/>
  <c r="G127" i="1"/>
  <c r="H127" i="1"/>
  <c r="I127" i="1"/>
  <c r="D126" i="1"/>
  <c r="E126" i="1"/>
  <c r="F126" i="1"/>
  <c r="G126" i="1"/>
  <c r="G124" i="1"/>
  <c r="H124" i="1"/>
  <c r="I123" i="1"/>
  <c r="J123" i="1"/>
  <c r="D122" i="1"/>
  <c r="D129" i="1"/>
  <c r="F121" i="1"/>
  <c r="G121" i="1"/>
  <c r="V118" i="1"/>
  <c r="U118" i="1"/>
  <c r="T118" i="1"/>
  <c r="T78" i="1"/>
  <c r="T119" i="1"/>
  <c r="S118" i="1"/>
  <c r="R118" i="1"/>
  <c r="Q118" i="1"/>
  <c r="P118" i="1"/>
  <c r="P78" i="1"/>
  <c r="P119" i="1"/>
  <c r="O118" i="1"/>
  <c r="N118" i="1"/>
  <c r="M118" i="1"/>
  <c r="L118" i="1"/>
  <c r="L78" i="1"/>
  <c r="L119" i="1"/>
  <c r="K118" i="1"/>
  <c r="J118" i="1"/>
  <c r="I118" i="1"/>
  <c r="D114" i="1"/>
  <c r="D118" i="1"/>
  <c r="D78" i="1"/>
  <c r="D119" i="1"/>
  <c r="C118" i="1"/>
  <c r="B118" i="1"/>
  <c r="F115" i="1"/>
  <c r="G115" i="1"/>
  <c r="H115" i="1"/>
  <c r="E114" i="1"/>
  <c r="Q77" i="1"/>
  <c r="Q111" i="1"/>
  <c r="Q112" i="1"/>
  <c r="M77" i="1"/>
  <c r="M111" i="1"/>
  <c r="M112" i="1"/>
  <c r="V111" i="1"/>
  <c r="U111" i="1"/>
  <c r="T111" i="1"/>
  <c r="S111" i="1"/>
  <c r="R111" i="1"/>
  <c r="P111" i="1"/>
  <c r="O111" i="1"/>
  <c r="N111" i="1"/>
  <c r="L111" i="1"/>
  <c r="K111" i="1"/>
  <c r="D111" i="1"/>
  <c r="C111" i="1"/>
  <c r="B111" i="1"/>
  <c r="H109" i="1"/>
  <c r="I109" i="1"/>
  <c r="I108" i="1"/>
  <c r="J108" i="1"/>
  <c r="J111" i="1"/>
  <c r="E107" i="1"/>
  <c r="F107" i="1"/>
  <c r="F111" i="1"/>
  <c r="F77" i="1"/>
  <c r="F112" i="1"/>
  <c r="R76" i="1"/>
  <c r="R104" i="1"/>
  <c r="R105" i="1"/>
  <c r="V104" i="1"/>
  <c r="V76" i="1"/>
  <c r="V105" i="1"/>
  <c r="U104" i="1"/>
  <c r="T104" i="1"/>
  <c r="S104" i="1"/>
  <c r="S76" i="1"/>
  <c r="S105" i="1"/>
  <c r="Q104" i="1"/>
  <c r="P104" i="1"/>
  <c r="O104" i="1"/>
  <c r="O76" i="1"/>
  <c r="O105" i="1"/>
  <c r="N104" i="1"/>
  <c r="M104" i="1"/>
  <c r="L104" i="1"/>
  <c r="B104" i="1"/>
  <c r="H102" i="1"/>
  <c r="I102" i="1"/>
  <c r="H101" i="1"/>
  <c r="I101" i="1"/>
  <c r="J101" i="1"/>
  <c r="K101" i="1"/>
  <c r="G100" i="1"/>
  <c r="H100" i="1"/>
  <c r="I100" i="1"/>
  <c r="J100" i="1"/>
  <c r="K100" i="1"/>
  <c r="G99" i="1"/>
  <c r="H99" i="1"/>
  <c r="I99" i="1"/>
  <c r="O95" i="1"/>
  <c r="N95" i="1"/>
  <c r="M95" i="1"/>
  <c r="L95" i="1"/>
  <c r="L140" i="1"/>
  <c r="D95" i="1"/>
  <c r="C95" i="1"/>
  <c r="C75" i="1"/>
  <c r="C96" i="1"/>
  <c r="B95" i="1"/>
  <c r="T75" i="1"/>
  <c r="T93" i="1"/>
  <c r="T95" i="1"/>
  <c r="S75" i="1"/>
  <c r="S93" i="1"/>
  <c r="S95" i="1"/>
  <c r="K75" i="1"/>
  <c r="K93" i="1"/>
  <c r="K95" i="1"/>
  <c r="V87" i="1"/>
  <c r="U87" i="1"/>
  <c r="T87" i="1"/>
  <c r="S87" i="1"/>
  <c r="R87" i="1"/>
  <c r="Q87" i="1"/>
  <c r="P87" i="1"/>
  <c r="O87" i="1"/>
  <c r="N87" i="1"/>
  <c r="M87" i="1"/>
  <c r="L87" i="1"/>
  <c r="K87" i="1"/>
  <c r="J87" i="1"/>
  <c r="I87" i="1"/>
  <c r="H87" i="1"/>
  <c r="G87" i="1"/>
  <c r="F87" i="1"/>
  <c r="E87" i="1"/>
  <c r="D87" i="1"/>
  <c r="C87" i="1"/>
  <c r="B87" i="1"/>
  <c r="V86" i="1"/>
  <c r="V137" i="1"/>
  <c r="U86" i="1"/>
  <c r="T86" i="1"/>
  <c r="S86" i="1"/>
  <c r="R86" i="1"/>
  <c r="R137" i="1"/>
  <c r="Q86" i="1"/>
  <c r="P86" i="1"/>
  <c r="P137" i="1"/>
  <c r="O86" i="1"/>
  <c r="N86" i="1"/>
  <c r="N137" i="1"/>
  <c r="M86" i="1"/>
  <c r="K86" i="1"/>
  <c r="J86" i="1"/>
  <c r="J137" i="1"/>
  <c r="I86" i="1"/>
  <c r="H86" i="1"/>
  <c r="G86" i="1"/>
  <c r="F86" i="1"/>
  <c r="F137" i="1"/>
  <c r="E86" i="1"/>
  <c r="D86" i="1"/>
  <c r="C86" i="1"/>
  <c r="B86" i="1"/>
  <c r="B137" i="1"/>
  <c r="V85" i="1"/>
  <c r="U85" i="1"/>
  <c r="T85" i="1"/>
  <c r="S85" i="1"/>
  <c r="R85" i="1"/>
  <c r="Q85" i="1"/>
  <c r="P85" i="1"/>
  <c r="O85" i="1"/>
  <c r="N85" i="1"/>
  <c r="M85" i="1"/>
  <c r="L85" i="1"/>
  <c r="K85" i="1"/>
  <c r="J85" i="1"/>
  <c r="I85" i="1"/>
  <c r="H85" i="1"/>
  <c r="G85" i="1"/>
  <c r="F85" i="1"/>
  <c r="E85" i="1"/>
  <c r="D85" i="1"/>
  <c r="C85" i="1"/>
  <c r="B85" i="1"/>
  <c r="V84" i="1"/>
  <c r="U84" i="1"/>
  <c r="T84" i="1"/>
  <c r="S84" i="1"/>
  <c r="R84" i="1"/>
  <c r="Q84" i="1"/>
  <c r="P84" i="1"/>
  <c r="O84" i="1"/>
  <c r="N84" i="1"/>
  <c r="M84" i="1"/>
  <c r="L84" i="1"/>
  <c r="K84" i="1"/>
  <c r="J84" i="1"/>
  <c r="I84" i="1"/>
  <c r="H84" i="1"/>
  <c r="G84" i="1"/>
  <c r="F84" i="1"/>
  <c r="E84" i="1"/>
  <c r="D84" i="1"/>
  <c r="C84" i="1"/>
  <c r="B84" i="1"/>
  <c r="V83" i="1"/>
  <c r="U83" i="1"/>
  <c r="T83" i="1"/>
  <c r="S83" i="1"/>
  <c r="R83" i="1"/>
  <c r="Q83" i="1"/>
  <c r="P83" i="1"/>
  <c r="O83" i="1"/>
  <c r="N83" i="1"/>
  <c r="M83" i="1"/>
  <c r="L83" i="1"/>
  <c r="K83" i="1"/>
  <c r="J83" i="1"/>
  <c r="I83" i="1"/>
  <c r="H83" i="1"/>
  <c r="G83" i="1"/>
  <c r="F83" i="1"/>
  <c r="E83" i="1"/>
  <c r="D83" i="1"/>
  <c r="C83" i="1"/>
  <c r="B83" i="1"/>
  <c r="V82" i="1"/>
  <c r="U82" i="1"/>
  <c r="T82" i="1"/>
  <c r="S82" i="1"/>
  <c r="R82" i="1"/>
  <c r="Q82" i="1"/>
  <c r="P82" i="1"/>
  <c r="O82" i="1"/>
  <c r="N82" i="1"/>
  <c r="M82" i="1"/>
  <c r="L82" i="1"/>
  <c r="K82" i="1"/>
  <c r="J82" i="1"/>
  <c r="I82" i="1"/>
  <c r="H82" i="1"/>
  <c r="G82" i="1"/>
  <c r="F82" i="1"/>
  <c r="E82" i="1"/>
  <c r="D82" i="1"/>
  <c r="C82" i="1"/>
  <c r="B82" i="1"/>
  <c r="V81" i="1"/>
  <c r="U81" i="1"/>
  <c r="T81" i="1"/>
  <c r="S81" i="1"/>
  <c r="R81" i="1"/>
  <c r="Q81" i="1"/>
  <c r="P81" i="1"/>
  <c r="O81" i="1"/>
  <c r="N81" i="1"/>
  <c r="M81" i="1"/>
  <c r="L81" i="1"/>
  <c r="K81" i="1"/>
  <c r="J81" i="1"/>
  <c r="I81" i="1"/>
  <c r="H81" i="1"/>
  <c r="G81" i="1"/>
  <c r="F81" i="1"/>
  <c r="E81" i="1"/>
  <c r="D81" i="1"/>
  <c r="C81" i="1"/>
  <c r="B81" i="1"/>
  <c r="V80" i="1"/>
  <c r="U80" i="1"/>
  <c r="T80" i="1"/>
  <c r="S80" i="1"/>
  <c r="R80" i="1"/>
  <c r="Q80" i="1"/>
  <c r="P80" i="1"/>
  <c r="O80" i="1"/>
  <c r="N80" i="1"/>
  <c r="M80" i="1"/>
  <c r="L80" i="1"/>
  <c r="K80" i="1"/>
  <c r="J80" i="1"/>
  <c r="I80" i="1"/>
  <c r="H80" i="1"/>
  <c r="G80" i="1"/>
  <c r="F80" i="1"/>
  <c r="E80" i="1"/>
  <c r="D80" i="1"/>
  <c r="C80" i="1"/>
  <c r="B80" i="1"/>
  <c r="V79" i="1"/>
  <c r="U79" i="1"/>
  <c r="T79" i="1"/>
  <c r="S79" i="1"/>
  <c r="R79" i="1"/>
  <c r="Q79" i="1"/>
  <c r="Q130" i="1"/>
  <c r="O79" i="1"/>
  <c r="N79" i="1"/>
  <c r="M79" i="1"/>
  <c r="K79" i="1"/>
  <c r="J79" i="1"/>
  <c r="I79" i="1"/>
  <c r="H79" i="1"/>
  <c r="G79" i="1"/>
  <c r="F79" i="1"/>
  <c r="E79" i="1"/>
  <c r="D79" i="1"/>
  <c r="C79" i="1"/>
  <c r="B79" i="1"/>
  <c r="V78" i="1"/>
  <c r="V119" i="1"/>
  <c r="U78" i="1"/>
  <c r="S78" i="1"/>
  <c r="S119" i="1"/>
  <c r="R78" i="1"/>
  <c r="R119" i="1"/>
  <c r="Q78" i="1"/>
  <c r="O78" i="1"/>
  <c r="O119" i="1"/>
  <c r="N78" i="1"/>
  <c r="N119" i="1"/>
  <c r="M78" i="1"/>
  <c r="K78" i="1"/>
  <c r="K119" i="1"/>
  <c r="J78" i="1"/>
  <c r="J119" i="1"/>
  <c r="I78" i="1"/>
  <c r="H78" i="1"/>
  <c r="G78" i="1"/>
  <c r="F78" i="1"/>
  <c r="E78" i="1"/>
  <c r="C78" i="1"/>
  <c r="C119" i="1"/>
  <c r="B78" i="1"/>
  <c r="B119" i="1"/>
  <c r="V77" i="1"/>
  <c r="U77" i="1"/>
  <c r="T77" i="1"/>
  <c r="T112" i="1"/>
  <c r="S77" i="1"/>
  <c r="S112" i="1"/>
  <c r="R77" i="1"/>
  <c r="P77" i="1"/>
  <c r="P112" i="1"/>
  <c r="O77" i="1"/>
  <c r="O112" i="1"/>
  <c r="N77" i="1"/>
  <c r="L77" i="1"/>
  <c r="L112" i="1"/>
  <c r="K77" i="1"/>
  <c r="K112" i="1"/>
  <c r="J77" i="1"/>
  <c r="I77" i="1"/>
  <c r="H77" i="1"/>
  <c r="G77" i="1"/>
  <c r="E77" i="1"/>
  <c r="D77" i="1"/>
  <c r="D112" i="1"/>
  <c r="C77" i="1"/>
  <c r="C112" i="1"/>
  <c r="B77" i="1"/>
  <c r="U76" i="1"/>
  <c r="T76" i="1"/>
  <c r="Q76" i="1"/>
  <c r="P76" i="1"/>
  <c r="N76" i="1"/>
  <c r="N105" i="1"/>
  <c r="M76" i="1"/>
  <c r="L76" i="1"/>
  <c r="K76" i="1"/>
  <c r="J76" i="1"/>
  <c r="I76" i="1"/>
  <c r="H76" i="1"/>
  <c r="G76" i="1"/>
  <c r="F76" i="1"/>
  <c r="E76" i="1"/>
  <c r="D76" i="1"/>
  <c r="C76" i="1"/>
  <c r="C98" i="1"/>
  <c r="B76" i="1"/>
  <c r="B105" i="1"/>
  <c r="V75" i="1"/>
  <c r="V93" i="1"/>
  <c r="V95" i="1"/>
  <c r="U75" i="1"/>
  <c r="S96" i="1"/>
  <c r="R75" i="1"/>
  <c r="R93" i="1"/>
  <c r="R95" i="1"/>
  <c r="Q75" i="1"/>
  <c r="Q93" i="1"/>
  <c r="Q95" i="1"/>
  <c r="Q140" i="1"/>
  <c r="P75" i="1"/>
  <c r="O75" i="1"/>
  <c r="N75" i="1"/>
  <c r="N96" i="1"/>
  <c r="M75" i="1"/>
  <c r="L75" i="1"/>
  <c r="J75" i="1"/>
  <c r="I75" i="1"/>
  <c r="I93" i="1"/>
  <c r="I95" i="1"/>
  <c r="H75" i="1"/>
  <c r="H93" i="1"/>
  <c r="H95" i="1"/>
  <c r="G75" i="1"/>
  <c r="G93" i="1"/>
  <c r="G95" i="1"/>
  <c r="F75" i="1"/>
  <c r="E75" i="1"/>
  <c r="D75" i="1"/>
  <c r="B75" i="1"/>
  <c r="V71" i="1"/>
  <c r="U71" i="1"/>
  <c r="T71" i="1"/>
  <c r="S71" i="1"/>
  <c r="R71" i="1"/>
  <c r="Q71" i="1"/>
  <c r="P71" i="1"/>
  <c r="O71" i="1"/>
  <c r="N71" i="1"/>
  <c r="M71" i="1"/>
  <c r="L71" i="1"/>
  <c r="K71" i="1"/>
  <c r="J71" i="1"/>
  <c r="I71" i="1"/>
  <c r="H71" i="1"/>
  <c r="G71" i="1"/>
  <c r="F71" i="1"/>
  <c r="E71" i="1"/>
  <c r="D71" i="1"/>
  <c r="C71" i="1"/>
  <c r="V54" i="1"/>
  <c r="U54" i="1"/>
  <c r="T54" i="1"/>
  <c r="S54" i="1"/>
  <c r="R54" i="1"/>
  <c r="Q54" i="1"/>
  <c r="P54" i="1"/>
  <c r="O54" i="1"/>
  <c r="N54" i="1"/>
  <c r="M54" i="1"/>
  <c r="L54" i="1"/>
  <c r="K54" i="1"/>
  <c r="J54" i="1"/>
  <c r="I54" i="1"/>
  <c r="H54" i="1"/>
  <c r="G54" i="1"/>
  <c r="F54" i="1"/>
  <c r="E54" i="1"/>
  <c r="D54" i="1"/>
  <c r="C54" i="1"/>
  <c r="N36" i="1"/>
  <c r="M36" i="1"/>
  <c r="L36" i="1"/>
  <c r="K36" i="1"/>
  <c r="J36" i="1"/>
  <c r="I36" i="1"/>
  <c r="H36" i="1"/>
  <c r="G36" i="1"/>
  <c r="F36" i="1"/>
  <c r="E36" i="1"/>
  <c r="D36" i="1"/>
  <c r="C36" i="1"/>
  <c r="N35" i="1"/>
  <c r="M35" i="1"/>
  <c r="L35" i="1"/>
  <c r="K35" i="1"/>
  <c r="J35" i="1"/>
  <c r="I35" i="1"/>
  <c r="H35" i="1"/>
  <c r="G35" i="1"/>
  <c r="F35" i="1"/>
  <c r="E35" i="1"/>
  <c r="D35" i="1"/>
  <c r="C35" i="1"/>
  <c r="N34" i="1"/>
  <c r="M34" i="1"/>
  <c r="L34" i="1"/>
  <c r="K34" i="1"/>
  <c r="J34" i="1"/>
  <c r="I34" i="1"/>
  <c r="H34" i="1"/>
  <c r="G34" i="1"/>
  <c r="F34" i="1"/>
  <c r="E34" i="1"/>
  <c r="D34" i="1"/>
  <c r="C34" i="1"/>
  <c r="O32" i="1"/>
  <c r="O31" i="1"/>
  <c r="O30" i="1"/>
  <c r="O29" i="1"/>
  <c r="O28" i="1"/>
  <c r="O27" i="1"/>
  <c r="O26" i="1"/>
  <c r="O25" i="1"/>
  <c r="O24" i="1"/>
  <c r="O23" i="1"/>
  <c r="O22" i="1"/>
  <c r="O21" i="1"/>
  <c r="O20" i="1"/>
  <c r="O16" i="1"/>
  <c r="O15" i="1"/>
  <c r="O36" i="1"/>
  <c r="O14" i="1"/>
  <c r="O13" i="1"/>
  <c r="O12" i="1"/>
  <c r="O11" i="1"/>
  <c r="O10" i="1"/>
  <c r="O9" i="1"/>
  <c r="O35" i="1"/>
  <c r="O8" i="1"/>
  <c r="O7" i="1"/>
  <c r="O6" i="1"/>
  <c r="O5" i="1"/>
  <c r="O4" i="1"/>
  <c r="W42" i="4"/>
  <c r="X15" i="4"/>
  <c r="W15" i="4"/>
  <c r="O34" i="4"/>
  <c r="W34" i="4"/>
  <c r="X34" i="4"/>
  <c r="AI25" i="2"/>
  <c r="AI28" i="2"/>
  <c r="AI36" i="2"/>
  <c r="AO7" i="2"/>
  <c r="AE81" i="2"/>
  <c r="AE2" i="2"/>
  <c r="AN21" i="2"/>
  <c r="AJ4" i="2"/>
  <c r="AJ23" i="2"/>
  <c r="AT23" i="2"/>
  <c r="AT2" i="2"/>
  <c r="AU9" i="2"/>
  <c r="AU13" i="2"/>
  <c r="AU31" i="2"/>
  <c r="AP33" i="2"/>
  <c r="AP11" i="2"/>
  <c r="AV23" i="2"/>
  <c r="AO34" i="2"/>
  <c r="AT27" i="2"/>
  <c r="J89" i="2"/>
  <c r="J159" i="2"/>
  <c r="AE89" i="2"/>
  <c r="AE159" i="2"/>
  <c r="AK6" i="2"/>
  <c r="AH138" i="2"/>
  <c r="AI89" i="2"/>
  <c r="AI2" i="2"/>
  <c r="AE25" i="2"/>
  <c r="AN81" i="2"/>
  <c r="AN2" i="2"/>
  <c r="AN25" i="2"/>
  <c r="AF138" i="2"/>
  <c r="AF6" i="2"/>
  <c r="AQ31" i="2"/>
  <c r="AQ9" i="2"/>
  <c r="AQ13" i="2"/>
  <c r="AT157" i="2"/>
  <c r="AT11" i="2"/>
  <c r="AS10" i="2"/>
  <c r="AS32" i="2"/>
  <c r="AS34" i="2"/>
  <c r="AW32" i="2"/>
  <c r="AW34" i="2"/>
  <c r="AW10" i="2"/>
  <c r="AQ30" i="2"/>
  <c r="AU30" i="2"/>
  <c r="AU34" i="2"/>
  <c r="AR157" i="2"/>
  <c r="AR32" i="2"/>
  <c r="AV34" i="2"/>
  <c r="AF2" i="2"/>
  <c r="AF7" i="2"/>
  <c r="AF14" i="2"/>
  <c r="BA7" i="2"/>
  <c r="BA14" i="2"/>
  <c r="BE7" i="2"/>
  <c r="AK5" i="2"/>
  <c r="AY13" i="2"/>
  <c r="BG13" i="2"/>
  <c r="AF21" i="2"/>
  <c r="AJ2" i="2"/>
  <c r="AR2" i="2"/>
  <c r="AG23" i="2"/>
  <c r="AO25" i="2"/>
  <c r="AC2" i="2"/>
  <c r="AC7" i="2"/>
  <c r="AC14" i="2"/>
  <c r="AC15" i="2"/>
  <c r="AP10" i="2"/>
  <c r="AT10" i="2"/>
  <c r="AR34" i="2"/>
  <c r="AT13" i="2"/>
  <c r="AS9" i="2"/>
  <c r="AW9" i="2"/>
  <c r="AO9" i="2"/>
  <c r="AO13" i="2"/>
  <c r="G178" i="1"/>
  <c r="AE13" i="2"/>
  <c r="BC13" i="2"/>
  <c r="AY28" i="2"/>
  <c r="AY36" i="2"/>
  <c r="AY37" i="2"/>
  <c r="BG28" i="2"/>
  <c r="BG36" i="2"/>
  <c r="BG37" i="2"/>
  <c r="AW5" i="2"/>
  <c r="AW6" i="2"/>
  <c r="AS25" i="2"/>
  <c r="AS102" i="2"/>
  <c r="AV102" i="2"/>
  <c r="AQ102" i="2"/>
  <c r="AV3" i="2"/>
  <c r="AV113" i="2"/>
  <c r="B178" i="1"/>
  <c r="AZ7" i="2"/>
  <c r="AZ14" i="2"/>
  <c r="BD7" i="2"/>
  <c r="BD14" i="2"/>
  <c r="BH7" i="2"/>
  <c r="BH14" i="2"/>
  <c r="AP13" i="2"/>
  <c r="P28" i="2"/>
  <c r="P36" i="2"/>
  <c r="P40" i="2"/>
  <c r="U28" i="2"/>
  <c r="U36" i="2"/>
  <c r="K27" i="2"/>
  <c r="K28" i="2"/>
  <c r="K36" i="2"/>
  <c r="AT89" i="2"/>
  <c r="AV25" i="2"/>
  <c r="AV117" i="2"/>
  <c r="AT138" i="2"/>
  <c r="AM13" i="2"/>
  <c r="AM28" i="2"/>
  <c r="AM36" i="2"/>
  <c r="AM37" i="2"/>
  <c r="BC28" i="2"/>
  <c r="BC36" i="2"/>
  <c r="BC37" i="2"/>
  <c r="AP34" i="2"/>
  <c r="AK4" i="2"/>
  <c r="AU89" i="2"/>
  <c r="AW25" i="2"/>
  <c r="AW102" i="2"/>
  <c r="AS4" i="2"/>
  <c r="AL6" i="2"/>
  <c r="AU102" i="2"/>
  <c r="AR21" i="2"/>
  <c r="AR113" i="2"/>
  <c r="AH113" i="2"/>
  <c r="AL113" i="2"/>
  <c r="AU138" i="2"/>
  <c r="AL138" i="2"/>
  <c r="AK138" i="2"/>
  <c r="AS138" i="2"/>
  <c r="AC138" i="2"/>
  <c r="E178" i="1"/>
  <c r="B159" i="1"/>
  <c r="AM7" i="2"/>
  <c r="AY7" i="2"/>
  <c r="BC7" i="2"/>
  <c r="BC14" i="2"/>
  <c r="BC15" i="2"/>
  <c r="BG7" i="2"/>
  <c r="BG14" i="2"/>
  <c r="BG15" i="2"/>
  <c r="AG6" i="2"/>
  <c r="AR9" i="2"/>
  <c r="AR13" i="2"/>
  <c r="AV9" i="2"/>
  <c r="AV13" i="2"/>
  <c r="AW13" i="2"/>
  <c r="AK23" i="2"/>
  <c r="AS23" i="2"/>
  <c r="AG89" i="2"/>
  <c r="AK89" i="2"/>
  <c r="AL3" i="2"/>
  <c r="AP138" i="2"/>
  <c r="AQ32" i="2"/>
  <c r="AU32" i="2"/>
  <c r="D98" i="1"/>
  <c r="C104" i="1"/>
  <c r="C105" i="1"/>
  <c r="Q142" i="1"/>
  <c r="R140" i="1"/>
  <c r="R142" i="1"/>
  <c r="V140" i="1"/>
  <c r="V142" i="1"/>
  <c r="M105" i="1"/>
  <c r="Q105" i="1"/>
  <c r="U105" i="1"/>
  <c r="B130" i="1"/>
  <c r="N130" i="1"/>
  <c r="R130" i="1"/>
  <c r="V130" i="1"/>
  <c r="C137" i="1"/>
  <c r="G137" i="1"/>
  <c r="K137" i="1"/>
  <c r="O137" i="1"/>
  <c r="S137" i="1"/>
  <c r="M140" i="1"/>
  <c r="M142" i="1"/>
  <c r="E122" i="1"/>
  <c r="F122" i="1"/>
  <c r="G122" i="1"/>
  <c r="H122" i="1"/>
  <c r="C130" i="1"/>
  <c r="O130" i="1"/>
  <c r="S130" i="1"/>
  <c r="T140" i="1"/>
  <c r="T142" i="1"/>
  <c r="S140" i="1"/>
  <c r="S142" i="1"/>
  <c r="T143" i="1"/>
  <c r="U112" i="1"/>
  <c r="O34" i="1"/>
  <c r="D96" i="1"/>
  <c r="L96" i="1"/>
  <c r="T130" i="1"/>
  <c r="B140" i="1"/>
  <c r="B142" i="1"/>
  <c r="O96" i="1"/>
  <c r="I111" i="1"/>
  <c r="I112" i="1"/>
  <c r="N112" i="1"/>
  <c r="R112" i="1"/>
  <c r="V112" i="1"/>
  <c r="M130" i="1"/>
  <c r="U130" i="1"/>
  <c r="E159" i="1"/>
  <c r="C178" i="1"/>
  <c r="R17" i="2"/>
  <c r="N17" i="2"/>
  <c r="U89" i="2"/>
  <c r="U159" i="2"/>
  <c r="U37" i="2"/>
  <c r="Q14" i="2"/>
  <c r="U3" i="2"/>
  <c r="U7" i="2"/>
  <c r="U14" i="2"/>
  <c r="AT7" i="2"/>
  <c r="BH28" i="2"/>
  <c r="BH36" i="2"/>
  <c r="BH15" i="2"/>
  <c r="AN7" i="2"/>
  <c r="AN14" i="2"/>
  <c r="AO14" i="2"/>
  <c r="BA15" i="2"/>
  <c r="S7" i="2"/>
  <c r="S14" i="2"/>
  <c r="AB14" i="2"/>
  <c r="L14" i="2"/>
  <c r="T23" i="2"/>
  <c r="T28" i="2"/>
  <c r="M14" i="2"/>
  <c r="P14" i="2"/>
  <c r="T14" i="2"/>
  <c r="BE14" i="2"/>
  <c r="BE15" i="2"/>
  <c r="AV21" i="2"/>
  <c r="AU157" i="2"/>
  <c r="AU159" i="2"/>
  <c r="BF36" i="2"/>
  <c r="U40" i="2"/>
  <c r="AS89" i="2"/>
  <c r="AW89" i="2"/>
  <c r="AJ25" i="2"/>
  <c r="L186" i="2"/>
  <c r="L182" i="2"/>
  <c r="L189" i="2"/>
  <c r="L190" i="2"/>
  <c r="L174" i="2"/>
  <c r="AR102" i="2"/>
  <c r="AD2" i="2"/>
  <c r="AD7" i="2"/>
  <c r="AD14" i="2"/>
  <c r="AH2" i="2"/>
  <c r="AH7" i="2"/>
  <c r="AH14" i="2"/>
  <c r="AP2" i="2"/>
  <c r="AP7" i="2"/>
  <c r="AP14" i="2"/>
  <c r="AE3" i="2"/>
  <c r="AI3" i="2"/>
  <c r="AQ3" i="2"/>
  <c r="AU3" i="2"/>
  <c r="O6" i="2"/>
  <c r="AQ2" i="2"/>
  <c r="AU2" i="2"/>
  <c r="AR3" i="2"/>
  <c r="AW4" i="2"/>
  <c r="O5" i="2"/>
  <c r="AU6" i="2"/>
  <c r="AB36" i="2"/>
  <c r="AB159" i="2"/>
  <c r="AB37" i="2"/>
  <c r="AG21" i="2"/>
  <c r="O23" i="2"/>
  <c r="AD25" i="2"/>
  <c r="AH27" i="2"/>
  <c r="N34" i="2"/>
  <c r="N36" i="2"/>
  <c r="R34" i="2"/>
  <c r="R36" i="2"/>
  <c r="V34" i="2"/>
  <c r="V36" i="2"/>
  <c r="AG51" i="2"/>
  <c r="AK51" i="2"/>
  <c r="Q172" i="2"/>
  <c r="Q173" i="2"/>
  <c r="Q174" i="2"/>
  <c r="T171" i="2"/>
  <c r="T187" i="2"/>
  <c r="W77" i="2"/>
  <c r="AF25" i="2"/>
  <c r="AF28" i="2"/>
  <c r="AF36" i="2"/>
  <c r="AF89" i="2"/>
  <c r="AF159" i="2"/>
  <c r="AF37" i="2"/>
  <c r="AL81" i="2"/>
  <c r="AL2" i="2"/>
  <c r="AL7" i="2"/>
  <c r="AL14" i="2"/>
  <c r="X198" i="2"/>
  <c r="J205" i="2"/>
  <c r="J173" i="2"/>
  <c r="J189" i="2"/>
  <c r="X205" i="2"/>
  <c r="AG27" i="2"/>
  <c r="AK27" i="2"/>
  <c r="K207" i="2"/>
  <c r="K173" i="2"/>
  <c r="X88" i="2"/>
  <c r="X207" i="2"/>
  <c r="X113" i="2"/>
  <c r="P138" i="2"/>
  <c r="P170" i="2"/>
  <c r="AQ117" i="2"/>
  <c r="AQ21" i="2"/>
  <c r="AQ138" i="2"/>
  <c r="R179" i="2"/>
  <c r="R186" i="2"/>
  <c r="K157" i="2"/>
  <c r="X152" i="2"/>
  <c r="X32" i="2"/>
  <c r="N159" i="2"/>
  <c r="AX36" i="2"/>
  <c r="AX159" i="2"/>
  <c r="AX37" i="2"/>
  <c r="BB28" i="2"/>
  <c r="BB36" i="2"/>
  <c r="BB159" i="2"/>
  <c r="BB37" i="2"/>
  <c r="U174" i="2"/>
  <c r="U186" i="2"/>
  <c r="U190" i="2"/>
  <c r="U176" i="2"/>
  <c r="AS113" i="2"/>
  <c r="AS27" i="2"/>
  <c r="W120" i="2"/>
  <c r="O117" i="2"/>
  <c r="AG2" i="2"/>
  <c r="AG7" i="2"/>
  <c r="AG14" i="2"/>
  <c r="AK2" i="2"/>
  <c r="AS2" i="2"/>
  <c r="AW2" i="2"/>
  <c r="AW7" i="2"/>
  <c r="AW14" i="2"/>
  <c r="AJ5" i="2"/>
  <c r="AJ7" i="2"/>
  <c r="AJ14" i="2"/>
  <c r="AV5" i="2"/>
  <c r="L21" i="2"/>
  <c r="L28" i="2"/>
  <c r="Q28" i="2"/>
  <c r="AE21" i="2"/>
  <c r="AE28" i="2"/>
  <c r="AE36" i="2"/>
  <c r="AE37" i="2"/>
  <c r="AO21" i="2"/>
  <c r="AO28" i="2"/>
  <c r="AU25" i="2"/>
  <c r="L34" i="2"/>
  <c r="T34" i="2"/>
  <c r="W59" i="2"/>
  <c r="O21" i="2"/>
  <c r="AH89" i="2"/>
  <c r="AL89" i="2"/>
  <c r="W63" i="2"/>
  <c r="AC89" i="2"/>
  <c r="AC159" i="2"/>
  <c r="AC37" i="2"/>
  <c r="AP89" i="2"/>
  <c r="AP21" i="2"/>
  <c r="AP28" i="2"/>
  <c r="AP36" i="2"/>
  <c r="AT21" i="2"/>
  <c r="AT28" i="2"/>
  <c r="J186" i="2"/>
  <c r="O171" i="2"/>
  <c r="O187" i="2"/>
  <c r="W75" i="2"/>
  <c r="AR25" i="2"/>
  <c r="AR28" i="2"/>
  <c r="AR36" i="2"/>
  <c r="K198" i="2"/>
  <c r="K195" i="2"/>
  <c r="V174" i="2"/>
  <c r="V186" i="2"/>
  <c r="V190" i="2"/>
  <c r="AJ117" i="2"/>
  <c r="AJ21" i="2"/>
  <c r="AJ28" i="2"/>
  <c r="AJ36" i="2"/>
  <c r="M28" i="2"/>
  <c r="M36" i="2"/>
  <c r="AZ28" i="2"/>
  <c r="AZ36" i="2"/>
  <c r="AZ15" i="2"/>
  <c r="BD28" i="2"/>
  <c r="BD36" i="2"/>
  <c r="BD159" i="2"/>
  <c r="BD37" i="2"/>
  <c r="AH25" i="2"/>
  <c r="AQ25" i="2"/>
  <c r="AL27" i="2"/>
  <c r="S89" i="2"/>
  <c r="S159" i="2"/>
  <c r="S21" i="2"/>
  <c r="S28" i="2"/>
  <c r="S36" i="2"/>
  <c r="AD89" i="2"/>
  <c r="AD159" i="2"/>
  <c r="AH21" i="2"/>
  <c r="AH28" i="2"/>
  <c r="AH36" i="2"/>
  <c r="AU23" i="2"/>
  <c r="K170" i="2"/>
  <c r="K89" i="2"/>
  <c r="X74" i="2"/>
  <c r="X79" i="2"/>
  <c r="X2" i="2"/>
  <c r="W78" i="2"/>
  <c r="K172" i="2"/>
  <c r="K188" i="2"/>
  <c r="K202" i="2"/>
  <c r="K203" i="2"/>
  <c r="X85" i="2"/>
  <c r="X202" i="2"/>
  <c r="X203" i="2"/>
  <c r="Q89" i="2"/>
  <c r="AG102" i="2"/>
  <c r="AK102" i="2"/>
  <c r="AK159" i="2"/>
  <c r="O102" i="2"/>
  <c r="AW113" i="2"/>
  <c r="N173" i="2"/>
  <c r="N174" i="2"/>
  <c r="X117" i="2"/>
  <c r="AW138" i="2"/>
  <c r="AW117" i="2"/>
  <c r="AW21" i="2"/>
  <c r="AW28" i="2"/>
  <c r="AU117" i="2"/>
  <c r="AU21" i="2"/>
  <c r="AU28" i="2"/>
  <c r="AU36" i="2"/>
  <c r="Q179" i="2"/>
  <c r="Q157" i="2"/>
  <c r="Q33" i="2"/>
  <c r="Q34" i="2"/>
  <c r="AD21" i="2"/>
  <c r="AT33" i="2"/>
  <c r="AT34" i="2"/>
  <c r="T89" i="2"/>
  <c r="T159" i="2"/>
  <c r="T170" i="2"/>
  <c r="S170" i="2"/>
  <c r="L200" i="2"/>
  <c r="L203" i="2"/>
  <c r="O84" i="2"/>
  <c r="W205" i="2"/>
  <c r="P157" i="2"/>
  <c r="P159" i="2"/>
  <c r="V89" i="2"/>
  <c r="V159" i="2"/>
  <c r="V176" i="2"/>
  <c r="AH102" i="2"/>
  <c r="AL102" i="2"/>
  <c r="O111" i="2"/>
  <c r="L113" i="2"/>
  <c r="AI138" i="2"/>
  <c r="AI159" i="2"/>
  <c r="AI37" i="2"/>
  <c r="AL117" i="2"/>
  <c r="AL21" i="2"/>
  <c r="W132" i="2"/>
  <c r="AG138" i="2"/>
  <c r="AV157" i="2"/>
  <c r="W149" i="2"/>
  <c r="N182" i="2"/>
  <c r="N189" i="2"/>
  <c r="N179" i="2"/>
  <c r="N183" i="2"/>
  <c r="AJ89" i="2"/>
  <c r="AR89" i="2"/>
  <c r="AV89" i="2"/>
  <c r="AO89" i="2"/>
  <c r="L195" i="2"/>
  <c r="L198" i="2"/>
  <c r="L89" i="2"/>
  <c r="O83" i="2"/>
  <c r="O85" i="2"/>
  <c r="O172" i="2"/>
  <c r="O188" i="2"/>
  <c r="M159" i="2"/>
  <c r="BF159" i="2"/>
  <c r="AP102" i="2"/>
  <c r="AT102" i="2"/>
  <c r="AT159" i="2"/>
  <c r="O113" i="2"/>
  <c r="AJ138" i="2"/>
  <c r="AV138" i="2"/>
  <c r="AR138" i="2"/>
  <c r="AP157" i="2"/>
  <c r="M179" i="2"/>
  <c r="X144" i="2"/>
  <c r="O144" i="2"/>
  <c r="R157" i="2"/>
  <c r="R159" i="2"/>
  <c r="Q182" i="2"/>
  <c r="O151" i="2"/>
  <c r="O157" i="2"/>
  <c r="T183" i="2"/>
  <c r="AK117" i="2"/>
  <c r="AK21" i="2"/>
  <c r="AK28" i="2"/>
  <c r="AK36" i="2"/>
  <c r="X132" i="2"/>
  <c r="AQ157" i="2"/>
  <c r="M173" i="2"/>
  <c r="M182" i="2"/>
  <c r="M189" i="2"/>
  <c r="R182" i="2"/>
  <c r="R173" i="2"/>
  <c r="R189" i="2"/>
  <c r="AZ159" i="2"/>
  <c r="BH159" i="2"/>
  <c r="X92" i="2"/>
  <c r="X102" i="2"/>
  <c r="M170" i="2"/>
  <c r="X181" i="2"/>
  <c r="K182" i="2"/>
  <c r="K183" i="2"/>
  <c r="L183" i="2"/>
  <c r="P208" i="2"/>
  <c r="P210" i="2"/>
  <c r="T208" i="2"/>
  <c r="T210" i="2"/>
  <c r="M208" i="2"/>
  <c r="M210" i="2"/>
  <c r="S188" i="2"/>
  <c r="J200" i="2"/>
  <c r="J203" i="2"/>
  <c r="J208" i="2"/>
  <c r="J195" i="2"/>
  <c r="Q195" i="2"/>
  <c r="Q210" i="2"/>
  <c r="Q188" i="2"/>
  <c r="W86" i="2"/>
  <c r="W201" i="2"/>
  <c r="AO157" i="2"/>
  <c r="AS157" i="2"/>
  <c r="AW157" i="2"/>
  <c r="X151" i="2"/>
  <c r="L157" i="2"/>
  <c r="T189" i="2"/>
  <c r="P182" i="2"/>
  <c r="P183" i="2"/>
  <c r="U210" i="2"/>
  <c r="X154" i="2"/>
  <c r="X9" i="2"/>
  <c r="K96" i="1"/>
  <c r="R143" i="1"/>
  <c r="U93" i="1"/>
  <c r="U95" i="1"/>
  <c r="U140" i="1"/>
  <c r="U142" i="1"/>
  <c r="V143" i="1"/>
  <c r="I104" i="1"/>
  <c r="I105" i="1"/>
  <c r="J99" i="1"/>
  <c r="H121" i="1"/>
  <c r="J93" i="1"/>
  <c r="J95" i="1"/>
  <c r="J96" i="1"/>
  <c r="R96" i="1"/>
  <c r="C140" i="1"/>
  <c r="C142" i="1"/>
  <c r="F93" i="1"/>
  <c r="F95" i="1"/>
  <c r="F96" i="1"/>
  <c r="M96" i="1"/>
  <c r="G107" i="1"/>
  <c r="E111" i="1"/>
  <c r="E112" i="1"/>
  <c r="E118" i="1"/>
  <c r="E119" i="1"/>
  <c r="F114" i="1"/>
  <c r="D137" i="1"/>
  <c r="S143" i="1"/>
  <c r="J112" i="1"/>
  <c r="D130" i="1"/>
  <c r="G96" i="1"/>
  <c r="V96" i="1"/>
  <c r="T137" i="1"/>
  <c r="N140" i="1"/>
  <c r="N142" i="1"/>
  <c r="L141" i="1"/>
  <c r="L142" i="1"/>
  <c r="E93" i="1"/>
  <c r="E95" i="1"/>
  <c r="E96" i="1"/>
  <c r="U96" i="1"/>
  <c r="L105" i="1"/>
  <c r="P105" i="1"/>
  <c r="T105" i="1"/>
  <c r="I96" i="1"/>
  <c r="Q96" i="1"/>
  <c r="H137" i="1"/>
  <c r="O140" i="1"/>
  <c r="O142" i="1"/>
  <c r="O143" i="1"/>
  <c r="D178" i="1"/>
  <c r="D159" i="1"/>
  <c r="H96" i="1"/>
  <c r="T96" i="1"/>
  <c r="I119" i="1"/>
  <c r="M119" i="1"/>
  <c r="Q119" i="1"/>
  <c r="U119" i="1"/>
  <c r="E137" i="1"/>
  <c r="I137" i="1"/>
  <c r="M137" i="1"/>
  <c r="Q137" i="1"/>
  <c r="U137" i="1"/>
  <c r="P93" i="1"/>
  <c r="P95" i="1"/>
  <c r="P140" i="1"/>
  <c r="P142" i="1"/>
  <c r="AR159" i="2"/>
  <c r="AR37" i="2"/>
  <c r="J174" i="2"/>
  <c r="J176" i="2"/>
  <c r="AS7" i="2"/>
  <c r="AQ159" i="2"/>
  <c r="AH15" i="2"/>
  <c r="AV28" i="2"/>
  <c r="AV36" i="2"/>
  <c r="AT14" i="2"/>
  <c r="P37" i="2"/>
  <c r="AY14" i="2"/>
  <c r="AY15" i="2"/>
  <c r="AQ34" i="2"/>
  <c r="AK37" i="2"/>
  <c r="AU37" i="2"/>
  <c r="AG159" i="2"/>
  <c r="AO36" i="2"/>
  <c r="AO15" i="2"/>
  <c r="AV7" i="2"/>
  <c r="AV14" i="2"/>
  <c r="AK7" i="2"/>
  <c r="AK14" i="2"/>
  <c r="AS28" i="2"/>
  <c r="AS36" i="2"/>
  <c r="AQ28" i="2"/>
  <c r="AQ36" i="2"/>
  <c r="AQ37" i="2"/>
  <c r="X208" i="2"/>
  <c r="AI7" i="2"/>
  <c r="AI14" i="2"/>
  <c r="AI15" i="2"/>
  <c r="AX15" i="2"/>
  <c r="AM14" i="2"/>
  <c r="AM15" i="2"/>
  <c r="AN28" i="2"/>
  <c r="AN36" i="2"/>
  <c r="AW36" i="2"/>
  <c r="AJ15" i="2"/>
  <c r="AR7" i="2"/>
  <c r="AR14" i="2"/>
  <c r="AR15" i="2"/>
  <c r="AE7" i="2"/>
  <c r="AE14" i="2"/>
  <c r="AE15" i="2"/>
  <c r="AN15" i="2"/>
  <c r="AS13" i="2"/>
  <c r="AN89" i="2"/>
  <c r="AN159" i="2"/>
  <c r="G129" i="1"/>
  <c r="G130" i="1"/>
  <c r="M143" i="1"/>
  <c r="B148" i="1"/>
  <c r="P143" i="1"/>
  <c r="E129" i="1"/>
  <c r="E130" i="1"/>
  <c r="N143" i="1"/>
  <c r="F129" i="1"/>
  <c r="F130" i="1"/>
  <c r="D104" i="1"/>
  <c r="E98" i="1"/>
  <c r="N37" i="2"/>
  <c r="N40" i="2"/>
  <c r="N42" i="2"/>
  <c r="N15" i="2"/>
  <c r="R174" i="2"/>
  <c r="R176" i="2"/>
  <c r="R40" i="2"/>
  <c r="R37" i="2"/>
  <c r="R15" i="2"/>
  <c r="V40" i="2"/>
  <c r="V37" i="2"/>
  <c r="M174" i="2"/>
  <c r="M186" i="2"/>
  <c r="M190" i="2"/>
  <c r="W83" i="2"/>
  <c r="W84" i="2"/>
  <c r="W85" i="2"/>
  <c r="W25" i="2"/>
  <c r="W5" i="2"/>
  <c r="AH159" i="2"/>
  <c r="AH37" i="2"/>
  <c r="O182" i="2"/>
  <c r="W151" i="2"/>
  <c r="O173" i="2"/>
  <c r="O8" i="2"/>
  <c r="O30" i="2"/>
  <c r="O33" i="2"/>
  <c r="O34" i="2"/>
  <c r="W144" i="2"/>
  <c r="O11" i="2"/>
  <c r="O200" i="2"/>
  <c r="O202" i="2"/>
  <c r="O203" i="2"/>
  <c r="W200" i="2"/>
  <c r="Q159" i="2"/>
  <c r="Q176" i="2"/>
  <c r="E50" i="2"/>
  <c r="X23" i="2"/>
  <c r="W171" i="2"/>
  <c r="W187" i="2"/>
  <c r="P186" i="2"/>
  <c r="P190" i="2"/>
  <c r="P174" i="2"/>
  <c r="X195" i="2"/>
  <c r="X210" i="2"/>
  <c r="W23" i="2"/>
  <c r="X157" i="2"/>
  <c r="X33" i="2"/>
  <c r="X11" i="2"/>
  <c r="L159" i="2"/>
  <c r="L176" i="2"/>
  <c r="A50" i="2"/>
  <c r="AO159" i="2"/>
  <c r="W111" i="2"/>
  <c r="O27" i="2"/>
  <c r="P176" i="2"/>
  <c r="Q183" i="2"/>
  <c r="X138" i="2"/>
  <c r="X172" i="2"/>
  <c r="X188" i="2"/>
  <c r="X25" i="2"/>
  <c r="K159" i="2"/>
  <c r="X89" i="2"/>
  <c r="K37" i="2"/>
  <c r="Q36" i="2"/>
  <c r="O3" i="2"/>
  <c r="N176" i="2"/>
  <c r="K189" i="2"/>
  <c r="X27" i="2"/>
  <c r="AU7" i="2"/>
  <c r="AU14" i="2"/>
  <c r="AU15" i="2"/>
  <c r="AP15" i="2"/>
  <c r="AW159" i="2"/>
  <c r="AW37" i="2"/>
  <c r="BF37" i="2"/>
  <c r="W6" i="2"/>
  <c r="T17" i="2"/>
  <c r="X21" i="2"/>
  <c r="BF15" i="2"/>
  <c r="S15" i="2"/>
  <c r="S17" i="2"/>
  <c r="BD15" i="2"/>
  <c r="AL25" i="2"/>
  <c r="AL28" i="2"/>
  <c r="AL36" i="2"/>
  <c r="AL15" i="2"/>
  <c r="X182" i="2"/>
  <c r="X30" i="2"/>
  <c r="X34" i="2"/>
  <c r="X8" i="2"/>
  <c r="X13" i="2"/>
  <c r="W202" i="2"/>
  <c r="M176" i="2"/>
  <c r="T186" i="2"/>
  <c r="T190" i="2"/>
  <c r="T174" i="2"/>
  <c r="S37" i="2"/>
  <c r="S40" i="2"/>
  <c r="X173" i="2"/>
  <c r="X189" i="2"/>
  <c r="T36" i="2"/>
  <c r="AF15" i="2"/>
  <c r="U17" i="2"/>
  <c r="U15" i="2"/>
  <c r="P189" i="2"/>
  <c r="O179" i="2"/>
  <c r="O198" i="2"/>
  <c r="W2" i="2"/>
  <c r="O195" i="2"/>
  <c r="O2" i="2"/>
  <c r="AJ159" i="2"/>
  <c r="AJ37" i="2"/>
  <c r="T176" i="2"/>
  <c r="AZ37" i="2"/>
  <c r="M42" i="2"/>
  <c r="M40" i="2"/>
  <c r="M37" i="2"/>
  <c r="AT36" i="2"/>
  <c r="AT37" i="2"/>
  <c r="AK15" i="2"/>
  <c r="O170" i="2"/>
  <c r="R190" i="2"/>
  <c r="X3" i="2"/>
  <c r="X7" i="2"/>
  <c r="X14" i="2"/>
  <c r="M15" i="2"/>
  <c r="M17" i="2"/>
  <c r="L17" i="2"/>
  <c r="L36" i="2"/>
  <c r="L15" i="2"/>
  <c r="AB15" i="2"/>
  <c r="O25" i="2"/>
  <c r="O28" i="2"/>
  <c r="O36" i="2"/>
  <c r="O89" i="2"/>
  <c r="O138" i="2"/>
  <c r="O159" i="2"/>
  <c r="O37" i="2"/>
  <c r="Q17" i="2"/>
  <c r="Q15" i="2"/>
  <c r="Q189" i="2"/>
  <c r="J210" i="2"/>
  <c r="X179" i="2"/>
  <c r="R183" i="2"/>
  <c r="M183" i="2"/>
  <c r="L208" i="2"/>
  <c r="L210" i="2"/>
  <c r="AV159" i="2"/>
  <c r="W181" i="2"/>
  <c r="W32" i="2"/>
  <c r="S186" i="2"/>
  <c r="S190" i="2"/>
  <c r="S174" i="2"/>
  <c r="S176" i="2"/>
  <c r="AD28" i="2"/>
  <c r="AD36" i="2"/>
  <c r="AD37" i="2"/>
  <c r="N186" i="2"/>
  <c r="N190" i="2"/>
  <c r="K186" i="2"/>
  <c r="K174" i="2"/>
  <c r="BH37" i="2"/>
  <c r="K208" i="2"/>
  <c r="K210" i="2"/>
  <c r="J190" i="2"/>
  <c r="AP159" i="2"/>
  <c r="AP37" i="2"/>
  <c r="AL159" i="2"/>
  <c r="AW15" i="2"/>
  <c r="W117" i="2"/>
  <c r="W138" i="2"/>
  <c r="Q186" i="2"/>
  <c r="AG28" i="2"/>
  <c r="AG36" i="2"/>
  <c r="AG37" i="2"/>
  <c r="AQ7" i="2"/>
  <c r="AQ14" i="2"/>
  <c r="AQ15" i="2"/>
  <c r="AS159" i="2"/>
  <c r="AS37" i="2"/>
  <c r="P17" i="2"/>
  <c r="P15" i="2"/>
  <c r="BB15" i="2"/>
  <c r="X170" i="2"/>
  <c r="AT15" i="2"/>
  <c r="P96" i="1"/>
  <c r="F118" i="1"/>
  <c r="F119" i="1"/>
  <c r="G114" i="1"/>
  <c r="C143" i="1"/>
  <c r="C148" i="1"/>
  <c r="J104" i="1"/>
  <c r="J105" i="1"/>
  <c r="K99" i="1"/>
  <c r="K104" i="1"/>
  <c r="Q143" i="1"/>
  <c r="H129" i="1"/>
  <c r="H130" i="1"/>
  <c r="I121" i="1"/>
  <c r="U143" i="1"/>
  <c r="G111" i="1"/>
  <c r="G112" i="1"/>
  <c r="H107" i="1"/>
  <c r="H111" i="1"/>
  <c r="H112" i="1"/>
  <c r="AN37" i="2"/>
  <c r="AV15" i="2"/>
  <c r="AS14" i="2"/>
  <c r="AS15" i="2"/>
  <c r="AV37" i="2"/>
  <c r="AO37" i="2"/>
  <c r="AG15" i="2"/>
  <c r="X28" i="2"/>
  <c r="X36" i="2"/>
  <c r="X15" i="2"/>
  <c r="D140" i="1"/>
  <c r="D142" i="1"/>
  <c r="D105" i="1"/>
  <c r="C149" i="1"/>
  <c r="E104" i="1"/>
  <c r="F98" i="1"/>
  <c r="O174" i="2"/>
  <c r="O176" i="2"/>
  <c r="O186" i="2"/>
  <c r="O189" i="2"/>
  <c r="O190" i="2"/>
  <c r="X17" i="2"/>
  <c r="T40" i="2"/>
  <c r="T37" i="2"/>
  <c r="W21" i="2"/>
  <c r="T15" i="2"/>
  <c r="W89" i="2"/>
  <c r="O13" i="2"/>
  <c r="W3" i="2"/>
  <c r="W7" i="2"/>
  <c r="W8" i="2"/>
  <c r="W11" i="2"/>
  <c r="W13" i="2"/>
  <c r="W14" i="2"/>
  <c r="X186" i="2"/>
  <c r="X190" i="2"/>
  <c r="X174" i="2"/>
  <c r="Q190" i="2"/>
  <c r="L37" i="2"/>
  <c r="L40" i="2"/>
  <c r="L42" i="2"/>
  <c r="O42" i="2"/>
  <c r="K190" i="2"/>
  <c r="O7" i="2"/>
  <c r="O14" i="2"/>
  <c r="O15" i="2"/>
  <c r="O183" i="2"/>
  <c r="K176" i="2"/>
  <c r="W203" i="2"/>
  <c r="W33" i="2"/>
  <c r="W179" i="2"/>
  <c r="W157" i="2"/>
  <c r="W182" i="2"/>
  <c r="W30" i="2"/>
  <c r="W173" i="2"/>
  <c r="X40" i="2"/>
  <c r="W198" i="2"/>
  <c r="W208" i="2"/>
  <c r="W195" i="2"/>
  <c r="W210" i="2"/>
  <c r="W172" i="2"/>
  <c r="W188" i="2"/>
  <c r="X159" i="2"/>
  <c r="X176" i="2"/>
  <c r="W170" i="2"/>
  <c r="X183" i="2"/>
  <c r="AL37" i="2"/>
  <c r="O208" i="2"/>
  <c r="O210" i="2"/>
  <c r="Q40" i="2"/>
  <c r="Q37" i="2"/>
  <c r="W27" i="2"/>
  <c r="W113" i="2"/>
  <c r="AD15" i="2"/>
  <c r="H114" i="1"/>
  <c r="H118" i="1"/>
  <c r="H119" i="1"/>
  <c r="G118" i="1"/>
  <c r="G119" i="1"/>
  <c r="J121" i="1"/>
  <c r="I129" i="1"/>
  <c r="K105" i="1"/>
  <c r="E105" i="1"/>
  <c r="E140" i="1"/>
  <c r="E142" i="1"/>
  <c r="F104" i="1"/>
  <c r="G98" i="1"/>
  <c r="D143" i="1"/>
  <c r="D148" i="1"/>
  <c r="D149" i="1"/>
  <c r="W17" i="2"/>
  <c r="X37" i="2"/>
  <c r="W28" i="2"/>
  <c r="W186" i="2"/>
  <c r="W189" i="2"/>
  <c r="W190" i="2"/>
  <c r="W174" i="2"/>
  <c r="W34" i="2"/>
  <c r="W183" i="2"/>
  <c r="W159" i="2"/>
  <c r="I130" i="1"/>
  <c r="I140" i="1"/>
  <c r="I142" i="1"/>
  <c r="K121" i="1"/>
  <c r="K129" i="1"/>
  <c r="J129" i="1"/>
  <c r="G104" i="1"/>
  <c r="H98" i="1"/>
  <c r="H104" i="1"/>
  <c r="F105" i="1"/>
  <c r="F140" i="1"/>
  <c r="F142" i="1"/>
  <c r="E148" i="1"/>
  <c r="E149" i="1"/>
  <c r="E143" i="1"/>
  <c r="W176" i="2"/>
  <c r="W218" i="2"/>
  <c r="W36" i="2"/>
  <c r="J130" i="1"/>
  <c r="J140" i="1"/>
  <c r="J142" i="1"/>
  <c r="I148" i="1"/>
  <c r="K130" i="1"/>
  <c r="K140" i="1"/>
  <c r="K142" i="1"/>
  <c r="F143" i="1"/>
  <c r="F148" i="1"/>
  <c r="F149" i="1"/>
  <c r="H105" i="1"/>
  <c r="H140" i="1"/>
  <c r="H142" i="1"/>
  <c r="G140" i="1"/>
  <c r="G142" i="1"/>
  <c r="G105" i="1"/>
  <c r="W40" i="2"/>
  <c r="W37" i="2"/>
  <c r="W15" i="2"/>
  <c r="K148" i="1"/>
  <c r="K143" i="1"/>
  <c r="J148" i="1"/>
  <c r="J149" i="1"/>
  <c r="J143" i="1"/>
  <c r="H143" i="1"/>
  <c r="H148" i="1"/>
  <c r="I143" i="1"/>
  <c r="G143" i="1"/>
  <c r="G148" i="1"/>
  <c r="G149" i="1"/>
  <c r="K149" i="1"/>
  <c r="I149" i="1"/>
  <c r="H149" i="1"/>
  <c r="K11" i="5"/>
  <c r="K15" i="5"/>
  <c r="K16" i="5"/>
</calcChain>
</file>

<file path=xl/comments1.xml><?xml version="1.0" encoding="utf-8"?>
<comments xmlns="http://schemas.openxmlformats.org/spreadsheetml/2006/main">
  <authors>
    <author>Karin G Johansson</author>
  </authors>
  <commentList>
    <comment ref="AA1" authorId="0">
      <text>
        <r>
          <rPr>
            <sz val="9"/>
            <color indexed="81"/>
            <rFont val="Tahoma"/>
            <family val="2"/>
          </rPr>
          <t xml:space="preserve">Kan investeringen finansieras med egna medel? Ja eller Nej
Motivera varför investering ska göras om investering ej kan fiannsieras med egna medel
</t>
        </r>
      </text>
    </comment>
    <comment ref="J20" authorId="0">
      <text>
        <r>
          <rPr>
            <sz val="9"/>
            <color indexed="81"/>
            <rFont val="Tahoma"/>
            <family val="2"/>
          </rPr>
          <t xml:space="preserve">Tilldelade medel för varje projekt ska fyllas i. Dvs . Hur mycket är tilldelat enligt beslut
</t>
        </r>
      </text>
    </comment>
    <comment ref="AA20" authorId="0">
      <text>
        <r>
          <rPr>
            <sz val="9"/>
            <color indexed="81"/>
            <rFont val="Tahoma"/>
            <family val="2"/>
          </rPr>
          <t xml:space="preserve">Kan investeringen finansieras med egna medel? Ja eller Nej
Motivera varför investering ska göras om investering ej kan fiannsieras med egna medel
</t>
        </r>
      </text>
    </comment>
    <comment ref="H40" authorId="0">
      <text>
        <r>
          <rPr>
            <sz val="16"/>
            <color indexed="81"/>
            <rFont val="Tahoma"/>
            <family val="2"/>
          </rPr>
          <t>F</t>
        </r>
        <r>
          <rPr>
            <sz val="18"/>
            <color indexed="81"/>
            <rFont val="Tahoma"/>
            <family val="2"/>
          </rPr>
          <t>örslag justerad inv plan
Ombyggnation AS pga FAS 35 mkr 2018-2019
Sänkning av bygrelaterade inv för utrustning  - 5 mkr/år 2017-2026 
(-15 mkr)
Ny huvudentré, flyttat fram till 2020, -4 mkr
Räddningsstation Tierp, byggs av extern part, ingen inv för LUL, -120 mkr
Produktionskök, flyttat till år 2020-21, -65 mkr</t>
        </r>
      </text>
    </comment>
    <comment ref="Y50" authorId="0">
      <text>
        <r>
          <rPr>
            <sz val="12"/>
            <color indexed="81"/>
            <rFont val="Tahoma"/>
            <family val="2"/>
          </rPr>
          <t xml:space="preserve">P-blocket dåligt skick, duger inte  till kontor
N-blocket är i något bättre skick, kan ev användas som kontor. Ska någon verksamhet nyttja dessa lokaler krävs att byggnaderna görs stomrena och  en omfattande investerings  för att anpassa till dagens krav.
Dyra att drifta och underhålla, ej verksamhets-anpassade </t>
        </r>
      </text>
    </comment>
    <comment ref="BE50" authorId="0">
      <text>
        <r>
          <rPr>
            <sz val="12"/>
            <color indexed="81"/>
            <rFont val="Tahoma"/>
            <family val="2"/>
          </rPr>
          <t>Beräknat rstvärde byg 1161-1167 (N ochP) år 2024 utifrån dagens inv
161231</t>
        </r>
      </text>
    </comment>
    <comment ref="I55" authorId="0">
      <text>
        <r>
          <rPr>
            <sz val="9"/>
            <color indexed="81"/>
            <rFont val="Tahoma"/>
            <family val="2"/>
          </rPr>
          <t>Projektets skede ska fyllas i, dvs. det skede som projektet befinner sig i nu!</t>
        </r>
        <r>
          <rPr>
            <b/>
            <sz val="9"/>
            <color indexed="81"/>
            <rFont val="Tahoma"/>
            <family val="2"/>
          </rPr>
          <t xml:space="preserve"> </t>
        </r>
        <r>
          <rPr>
            <sz val="9"/>
            <color indexed="81"/>
            <rFont val="Tahoma"/>
            <family val="2"/>
          </rPr>
          <t xml:space="preserve">
</t>
        </r>
      </text>
    </comment>
    <comment ref="J55" authorId="0">
      <text>
        <r>
          <rPr>
            <sz val="9"/>
            <color indexed="81"/>
            <rFont val="Tahoma"/>
            <family val="2"/>
          </rPr>
          <t xml:space="preserve">Tilldelade medel för varje projekt ska fyllas i. Dvs . Hur mycket är tilldelat enligt beslut
</t>
        </r>
      </text>
    </comment>
    <comment ref="AA55" authorId="0">
      <text>
        <r>
          <rPr>
            <sz val="9"/>
            <color indexed="81"/>
            <rFont val="Tahoma"/>
            <family val="2"/>
          </rPr>
          <t xml:space="preserve">Kan investeringen finansieras med egna medel? Ja eller Nej
Motivera varför investering ska göras om investering ej kan fiannsieras med egna medel
</t>
        </r>
      </text>
    </comment>
    <comment ref="BH63" authorId="0">
      <text>
        <r>
          <rPr>
            <sz val="10"/>
            <color indexed="81"/>
            <rFont val="Tahoma"/>
            <family val="2"/>
          </rPr>
          <t>Restvärde 2016 10 mnkr, stomme ca 5 resterande utrangeras vid ombyggnad</t>
        </r>
        <r>
          <rPr>
            <sz val="9"/>
            <color indexed="81"/>
            <rFont val="Tahoma"/>
            <family val="2"/>
          </rPr>
          <t xml:space="preserve">
</t>
        </r>
      </text>
    </comment>
    <comment ref="BH65" authorId="0">
      <text>
        <r>
          <rPr>
            <sz val="11"/>
            <color indexed="81"/>
            <rFont val="Tahoma"/>
            <family val="2"/>
          </rPr>
          <t>Uppskattad siffra på utrangering på 30 år gamla hus del av stomme samt Hi inv</t>
        </r>
        <r>
          <rPr>
            <sz val="9"/>
            <color indexed="81"/>
            <rFont val="Tahoma"/>
            <family val="2"/>
          </rPr>
          <t xml:space="preserve">
</t>
        </r>
      </text>
    </comment>
    <comment ref="BD84" authorId="0">
      <text>
        <r>
          <rPr>
            <sz val="12"/>
            <color indexed="81"/>
            <rFont val="Tahoma"/>
            <family val="2"/>
          </rPr>
          <t>Baserat på ursprungsbedömning 
att B9 skulle totalrenoveras. OM mindre renovering är kostnden för utrangering lägre</t>
        </r>
        <r>
          <rPr>
            <sz val="9"/>
            <color indexed="81"/>
            <rFont val="Tahoma"/>
            <family val="2"/>
          </rPr>
          <t xml:space="preserve">
</t>
        </r>
      </text>
    </comment>
    <comment ref="AA111" authorId="0">
      <text>
        <r>
          <rPr>
            <sz val="10"/>
            <color indexed="81"/>
            <rFont val="Tahoma"/>
            <family val="2"/>
          </rPr>
          <t>enl CK2013-0336 LS belsut fördjupat programarbete o projektering</t>
        </r>
        <r>
          <rPr>
            <sz val="9"/>
            <color indexed="81"/>
            <rFont val="Tahoma"/>
            <family val="2"/>
          </rPr>
          <t xml:space="preserve">
</t>
        </r>
      </text>
    </comment>
  </commentList>
</comments>
</file>

<file path=xl/comments2.xml><?xml version="1.0" encoding="utf-8"?>
<comments xmlns="http://schemas.openxmlformats.org/spreadsheetml/2006/main">
  <authors>
    <author>Karin G Johansson</author>
  </authors>
  <commentList>
    <comment ref="AA1" authorId="0">
      <text>
        <r>
          <rPr>
            <sz val="9"/>
            <color indexed="81"/>
            <rFont val="Tahoma"/>
            <family val="2"/>
          </rPr>
          <t xml:space="preserve">Kan investeringen finansieras med egna medel? Ja eller Nej
Motivera varför investering ska göras om investering ej kan fiannsieras med egna medel
</t>
        </r>
      </text>
    </comment>
    <comment ref="J17" authorId="0">
      <text>
        <r>
          <rPr>
            <sz val="9"/>
            <color indexed="81"/>
            <rFont val="Tahoma"/>
            <family val="2"/>
          </rPr>
          <t xml:space="preserve">Tilldelade medel för varje projekt ska fyllas i. Dvs . Hur mycket är tilldelat enligt beslut
</t>
        </r>
      </text>
    </comment>
    <comment ref="AA17" authorId="0">
      <text>
        <r>
          <rPr>
            <sz val="9"/>
            <color indexed="81"/>
            <rFont val="Tahoma"/>
            <family val="2"/>
          </rPr>
          <t xml:space="preserve">Kan investeringen finansieras med egna medel? Ja eller Nej
Motivera varför investering ska göras om investering ej kan fiannsieras med egna medel
</t>
        </r>
      </text>
    </comment>
    <comment ref="I43" authorId="0">
      <text>
        <r>
          <rPr>
            <sz val="9"/>
            <color indexed="81"/>
            <rFont val="Tahoma"/>
            <family val="2"/>
          </rPr>
          <t>Projektets skede ska fyllas i, dvs. det skede som projektet befinner sig i nu!</t>
        </r>
        <r>
          <rPr>
            <b/>
            <sz val="9"/>
            <color indexed="81"/>
            <rFont val="Tahoma"/>
            <family val="2"/>
          </rPr>
          <t xml:space="preserve"> </t>
        </r>
        <r>
          <rPr>
            <sz val="9"/>
            <color indexed="81"/>
            <rFont val="Tahoma"/>
            <family val="2"/>
          </rPr>
          <t xml:space="preserve">
</t>
        </r>
      </text>
    </comment>
    <comment ref="J43" authorId="0">
      <text>
        <r>
          <rPr>
            <sz val="9"/>
            <color indexed="81"/>
            <rFont val="Tahoma"/>
            <family val="2"/>
          </rPr>
          <t xml:space="preserve">Tilldelade medel för varje projekt ska fyllas i. Dvs . Hur mycket är tilldelat enligt beslut
</t>
        </r>
      </text>
    </comment>
    <comment ref="AA43" authorId="0">
      <text>
        <r>
          <rPr>
            <sz val="9"/>
            <color indexed="81"/>
            <rFont val="Tahoma"/>
            <family val="2"/>
          </rPr>
          <t xml:space="preserve">Kan investeringen finansieras med egna medel? Ja eller Nej
Motivera varför investering ska göras om investering ej kan fiannsieras med egna medel
</t>
        </r>
      </text>
    </comment>
    <comment ref="BD60" authorId="0">
      <text>
        <r>
          <rPr>
            <sz val="12"/>
            <color indexed="81"/>
            <rFont val="Tahoma"/>
            <family val="2"/>
          </rPr>
          <t>Baserat på ursprungsbedömning 
att B9 skulle totalrenoveras. OM mindre renovering är kostnden för utrangering lägre</t>
        </r>
        <r>
          <rPr>
            <sz val="9"/>
            <color indexed="81"/>
            <rFont val="Tahoma"/>
            <family val="2"/>
          </rPr>
          <t xml:space="preserve">
</t>
        </r>
      </text>
    </comment>
    <comment ref="AA81" authorId="0">
      <text>
        <r>
          <rPr>
            <sz val="10"/>
            <color indexed="81"/>
            <rFont val="Tahoma"/>
            <family val="2"/>
          </rPr>
          <t>enl CK2013-0336 LS belsut fördjupat programarbete o projektering</t>
        </r>
        <r>
          <rPr>
            <sz val="9"/>
            <color indexed="81"/>
            <rFont val="Tahoma"/>
            <family val="2"/>
          </rPr>
          <t xml:space="preserve">
</t>
        </r>
      </text>
    </comment>
  </commentList>
</comments>
</file>

<file path=xl/comments3.xml><?xml version="1.0" encoding="utf-8"?>
<comments xmlns="http://schemas.openxmlformats.org/spreadsheetml/2006/main">
  <authors>
    <author>Karin G Johansson</author>
  </authors>
  <commentList>
    <comment ref="J2" authorId="0">
      <text>
        <r>
          <rPr>
            <sz val="9"/>
            <color indexed="81"/>
            <rFont val="Tahoma"/>
            <family val="2"/>
          </rPr>
          <t xml:space="preserve">Tilldelade medel för varje projekt ska fyllas i. Dvs . Hur mycket är tilldelat enligt beslut
</t>
        </r>
      </text>
    </comment>
    <comment ref="I17" authorId="0">
      <text>
        <r>
          <rPr>
            <sz val="9"/>
            <color indexed="81"/>
            <rFont val="Tahoma"/>
            <family val="2"/>
          </rPr>
          <t>Projektets skede ska fyllas i, dvs. det skede som projektet befinner sig i nu!</t>
        </r>
        <r>
          <rPr>
            <b/>
            <sz val="9"/>
            <color indexed="81"/>
            <rFont val="Tahoma"/>
            <family val="2"/>
          </rPr>
          <t xml:space="preserve"> </t>
        </r>
        <r>
          <rPr>
            <sz val="9"/>
            <color indexed="81"/>
            <rFont val="Tahoma"/>
            <family val="2"/>
          </rPr>
          <t xml:space="preserve">
</t>
        </r>
      </text>
    </comment>
    <comment ref="J17" authorId="0">
      <text>
        <r>
          <rPr>
            <sz val="9"/>
            <color indexed="81"/>
            <rFont val="Tahoma"/>
            <family val="2"/>
          </rPr>
          <t xml:space="preserve">Tilldelade medel för varje projekt ska fyllas i. Dvs . Hur mycket är tilldelat enligt beslut
</t>
        </r>
      </text>
    </comment>
    <comment ref="AA17" authorId="0">
      <text>
        <r>
          <rPr>
            <sz val="9"/>
            <color indexed="81"/>
            <rFont val="Tahoma"/>
            <family val="2"/>
          </rPr>
          <t xml:space="preserve">Kan investeringen finansieras med egna medel? Ja eller Nej
Motivera varför investering ska göras om investering ej kan fiannsieras med egna medel
</t>
        </r>
      </text>
    </comment>
    <comment ref="BH21" authorId="0">
      <text>
        <r>
          <rPr>
            <sz val="10"/>
            <color indexed="81"/>
            <rFont val="Tahoma"/>
            <family val="2"/>
          </rPr>
          <t>Restvärde 2016 10 mnkr, stomme ca 5 resterande utrangeras vid ombyggnad</t>
        </r>
        <r>
          <rPr>
            <sz val="9"/>
            <color indexed="81"/>
            <rFont val="Tahoma"/>
            <family val="2"/>
          </rPr>
          <t xml:space="preserve">
</t>
        </r>
      </text>
    </comment>
    <comment ref="BH22" authorId="0">
      <text>
        <r>
          <rPr>
            <sz val="11"/>
            <color indexed="81"/>
            <rFont val="Tahoma"/>
            <family val="2"/>
          </rPr>
          <t>Uppskattad siffra på utrangering på 30 år gamla hus del av stomme samt Hi inv</t>
        </r>
        <r>
          <rPr>
            <sz val="9"/>
            <color indexed="81"/>
            <rFont val="Tahoma"/>
            <family val="2"/>
          </rPr>
          <t xml:space="preserve">
</t>
        </r>
      </text>
    </comment>
  </commentList>
</comments>
</file>

<file path=xl/sharedStrings.xml><?xml version="1.0" encoding="utf-8"?>
<sst xmlns="http://schemas.openxmlformats.org/spreadsheetml/2006/main" count="2246" uniqueCount="520">
  <si>
    <t>Sammanställning förändringar inv planen 2017-04-20</t>
  </si>
  <si>
    <t>ursprunglig inv plan</t>
  </si>
  <si>
    <t>Inv som är förskjutna i tid</t>
  </si>
  <si>
    <t>prio</t>
  </si>
  <si>
    <t>tot inv belopp</t>
  </si>
  <si>
    <t>Kommentar</t>
  </si>
  <si>
    <t>Upparbet tom 2017</t>
  </si>
  <si>
    <t>Budget 2018</t>
  </si>
  <si>
    <t>Budget 2019</t>
  </si>
  <si>
    <t>Budget 2020</t>
  </si>
  <si>
    <t>Summa Investeringar     2018-2020</t>
  </si>
  <si>
    <t>Budget 2021</t>
  </si>
  <si>
    <t>Budget 2022</t>
  </si>
  <si>
    <t>Budget 2023</t>
  </si>
  <si>
    <t>Budget 2024</t>
  </si>
  <si>
    <t>Budget 2025</t>
  </si>
  <si>
    <t>Budget 2026</t>
  </si>
  <si>
    <t>Budget 2027</t>
  </si>
  <si>
    <t>Summa inv 2018-2027</t>
  </si>
  <si>
    <t>omb av ospecade vård avd på AS ersatt av oförutsett för hela Regionen</t>
  </si>
  <si>
    <t>ny ej funnits med tidigare, 120 mnkr/år</t>
  </si>
  <si>
    <t>genomförande prio 0 HI</t>
  </si>
  <si>
    <t>Hälsoäventyret</t>
  </si>
  <si>
    <t>flyttat fram inv fr 2018 till 2024</t>
  </si>
  <si>
    <t>Prio 1 HI</t>
  </si>
  <si>
    <t>ombyggnad till Rättspsyk</t>
  </si>
  <si>
    <t>flyttat fram inv fr 2018-21 till 2024-27</t>
  </si>
  <si>
    <t>Prio 2 HI</t>
  </si>
  <si>
    <t>Kungsgärdet</t>
  </si>
  <si>
    <t>Prio 3 HI</t>
  </si>
  <si>
    <t>Ny neonatal</t>
  </si>
  <si>
    <t>flyttat fram inv fr 2021-22 till 2024-27</t>
  </si>
  <si>
    <t>Prio 4-10 HI</t>
  </si>
  <si>
    <t>Omb 30 D återst vårdavd</t>
  </si>
  <si>
    <t>flyttat fram inv fr 2018-22 till 2024-25</t>
  </si>
  <si>
    <t>summa HI</t>
  </si>
  <si>
    <t>Ny cyklotron</t>
  </si>
  <si>
    <t>flyttat fram inv fr 2018-19 till 2024-25</t>
  </si>
  <si>
    <t>genomförande prio 0 FI</t>
  </si>
  <si>
    <t>Ny huvudentré Enköping</t>
  </si>
  <si>
    <t>flyttat fram inv fr 2021 till 2024</t>
  </si>
  <si>
    <t>Prio 1 FI</t>
  </si>
  <si>
    <t>Tierp</t>
  </si>
  <si>
    <t>flyttat fram inv fr 2018 till 2023</t>
  </si>
  <si>
    <t>Prio 2 FI</t>
  </si>
  <si>
    <t>tillnyktringenhet</t>
  </si>
  <si>
    <t>flyttat fram inv fr 2021-22 till 2024-25</t>
  </si>
  <si>
    <t>Prio 3 FI</t>
  </si>
  <si>
    <t>ambulansstation Gränby</t>
  </si>
  <si>
    <t>flyttat fram inv fr 2020 till 2024</t>
  </si>
  <si>
    <t>Prio 4-10 FI</t>
  </si>
  <si>
    <t>renovering 30-50 husen</t>
  </si>
  <si>
    <t>flyttat fram inv fr 2018 till 2024-26</t>
  </si>
  <si>
    <t>Summa FI</t>
  </si>
  <si>
    <t>påbyggnad F-blocket 150 adm platser</t>
  </si>
  <si>
    <t>flyttat fram inv fr 2023 till 2024</t>
  </si>
  <si>
    <t>Summa HI + FI</t>
  </si>
  <si>
    <t>Produktionskök</t>
  </si>
  <si>
    <t>flyttat fram inv fr 2018 till 2024-25</t>
  </si>
  <si>
    <t>Kvinna och barn utr</t>
  </si>
  <si>
    <t>Ny version inv plan (framflytt av inv bortom år 2023)</t>
  </si>
  <si>
    <t>Huvudentré AS</t>
  </si>
  <si>
    <t>summa inv 2018-2027</t>
  </si>
  <si>
    <t>PV vårdcentral ombyggnationer</t>
  </si>
  <si>
    <t>Barnspec flytt till plan 5</t>
  </si>
  <si>
    <t>flyttat fram inv fr 2018-19-20 till 2024</t>
  </si>
  <si>
    <t>PV hus C Enköping</t>
  </si>
  <si>
    <t>Akvifer prio 4</t>
  </si>
  <si>
    <t>FI åtg prio 0</t>
  </si>
  <si>
    <t>sänkt inv från 140 till 100 mnkr per år</t>
  </si>
  <si>
    <t>Energi åtg prio 1</t>
  </si>
  <si>
    <t>sänkt inv med 5 mnkr</t>
  </si>
  <si>
    <t>Energi nytt program prio 3</t>
  </si>
  <si>
    <t>sänkt inv från 160 mnkr till 135 mnkr</t>
  </si>
  <si>
    <t>Summa förändring inv</t>
  </si>
  <si>
    <t>förändring HI</t>
  </si>
  <si>
    <t>förändring FI</t>
  </si>
  <si>
    <t>ursprunglig inv plan hyreskostnad och avkastningskrav</t>
  </si>
  <si>
    <t>Hyres kostnad 2018</t>
  </si>
  <si>
    <t>Hyres kostnad 2019</t>
  </si>
  <si>
    <t>Hyres kostnad 2020</t>
  </si>
  <si>
    <t>Hyres kostnad 2021</t>
  </si>
  <si>
    <t>Hyres kostnad 2022</t>
  </si>
  <si>
    <t>Hyres kostnad 2023</t>
  </si>
  <si>
    <t>Hyres kostnad 2024</t>
  </si>
  <si>
    <t>Hyres kostnad 2025</t>
  </si>
  <si>
    <t>Hyres kostnad 2026</t>
  </si>
  <si>
    <t>Hyres kostnad 2027</t>
  </si>
  <si>
    <t>Kostnad LSU avk. krav 2017</t>
  </si>
  <si>
    <t>Kostnad LSU  avk. krav 2018</t>
  </si>
  <si>
    <t>Kostnad LSU avk. krav 2019</t>
  </si>
  <si>
    <t>Kostnad LSU avk. krav 2020</t>
  </si>
  <si>
    <t>Kostnad LSU avk. krav 2021</t>
  </si>
  <si>
    <t>Kostnad LSU avk. krav 2022</t>
  </si>
  <si>
    <t>Kostnad LSU avk. krav 2023</t>
  </si>
  <si>
    <t>Kostnad LSU avk. krav 2024</t>
  </si>
  <si>
    <t>Kostnad LSU avk. krav 2025</t>
  </si>
  <si>
    <t>Kostnad LSU avk. krav 2026</t>
  </si>
  <si>
    <t>Kostnad LSU avk. krav 2027</t>
  </si>
  <si>
    <t>ny version inv plan hyreskostnad och avkastningskrav (inv flyttade bortom år 2023)</t>
  </si>
  <si>
    <t>Förändring hyreskostnad och avkastningskrav ursprung. och ny version</t>
  </si>
  <si>
    <t>Förändring hyreskostnad och avkastningskrav ursprung. och ny version per investering</t>
  </si>
  <si>
    <t>genomförande</t>
  </si>
  <si>
    <t>övrig inv</t>
  </si>
  <si>
    <t>Summa Genomförande</t>
  </si>
  <si>
    <t>Övr inv</t>
  </si>
  <si>
    <t>Summa Prio 1</t>
  </si>
  <si>
    <t>Övriga inv</t>
  </si>
  <si>
    <t>prio 3</t>
  </si>
  <si>
    <t>övriga inv</t>
  </si>
  <si>
    <t>Prio 4-10</t>
  </si>
  <si>
    <t>PV vårdcentral</t>
  </si>
  <si>
    <t>FI inv</t>
  </si>
  <si>
    <t>Summa förändring hyreskostnad och avkastningskrav ursprung. och ny version per investering</t>
  </si>
  <si>
    <t>Summa HI</t>
  </si>
  <si>
    <t xml:space="preserve">Summa Ack kostnads-förändring </t>
  </si>
  <si>
    <t>Kostnadsförändring/ år</t>
  </si>
  <si>
    <t>Total kostnadsförändring</t>
  </si>
  <si>
    <t>Summa hyreskostnad och avkastningskrav</t>
  </si>
  <si>
    <t>kostnadsförändring per år</t>
  </si>
  <si>
    <t>Fördelning inv ram enlig förslag fr Thomas Thunblom</t>
  </si>
  <si>
    <t>kommentar</t>
  </si>
  <si>
    <t>SHS</t>
  </si>
  <si>
    <t>FTB</t>
  </si>
  <si>
    <t>Diff</t>
  </si>
  <si>
    <t>VS</t>
  </si>
  <si>
    <t xml:space="preserve">Kultur </t>
  </si>
  <si>
    <t>KTF</t>
  </si>
  <si>
    <t>FSN</t>
  </si>
  <si>
    <t>oförutsett</t>
  </si>
  <si>
    <t>summa</t>
  </si>
  <si>
    <t>Investeringsplan 2018-2027 - utkast 170330</t>
  </si>
  <si>
    <t>Total projektplan tom 2027</t>
  </si>
  <si>
    <t>Total upparbet. inkl plan</t>
  </si>
  <si>
    <t>Finans-iering</t>
  </si>
  <si>
    <t>Drift kons/finans-iering</t>
  </si>
  <si>
    <t>Hyres kostnad 2017</t>
  </si>
  <si>
    <t>utrang. 2017</t>
  </si>
  <si>
    <t>utrang. 2018</t>
  </si>
  <si>
    <t>utrang. 2019</t>
  </si>
  <si>
    <t>utrang. 2020</t>
  </si>
  <si>
    <t>utrang. 2021</t>
  </si>
  <si>
    <t>utrang. 2022</t>
  </si>
  <si>
    <t>utrang. 2023</t>
  </si>
  <si>
    <t>utrang. 2024</t>
  </si>
  <si>
    <t>utrang. 2025</t>
  </si>
  <si>
    <t>utrang. 2026</t>
  </si>
  <si>
    <t>utrang. 2027</t>
  </si>
  <si>
    <t>beslutad inv plan nivå</t>
  </si>
  <si>
    <t>Nivå före ändr till 2024</t>
  </si>
  <si>
    <t>Skede</t>
  </si>
  <si>
    <t>Tilldel. medel</t>
  </si>
  <si>
    <t>Behov/ behovsanalys HI</t>
  </si>
  <si>
    <t>Förstudie HI</t>
  </si>
  <si>
    <t>Program HI</t>
  </si>
  <si>
    <t>Genomförande HI</t>
  </si>
  <si>
    <t>Total summa HI</t>
  </si>
  <si>
    <t>FI</t>
  </si>
  <si>
    <t>FI centralblocket innan renovering</t>
  </si>
  <si>
    <t>FI Infrastruktur</t>
  </si>
  <si>
    <t>FI Energispar</t>
  </si>
  <si>
    <t>Total summa FI</t>
  </si>
  <si>
    <t>Total summa HI/FI</t>
  </si>
  <si>
    <t>Beslutad inv plan 2017-2026</t>
  </si>
  <si>
    <t>Differens</t>
  </si>
  <si>
    <t>Kostnadsminskning Stadsbussdepå nuvarande hyra extern inhyrning</t>
  </si>
  <si>
    <t>21 mkr avser  bussdepå nuvarande hyra (kontor 4 mkr, 17 mkr hyra depå)</t>
  </si>
  <si>
    <t>AS</t>
  </si>
  <si>
    <t>Ev vill AS ha lokalerna?! Tiunda fsg minskad driftkostnad</t>
  </si>
  <si>
    <t>Tiunda minskad driftkostnad pga fsg</t>
  </si>
  <si>
    <t>PV</t>
  </si>
  <si>
    <t>Länna VC och Knutby VC, lämnas ersätts av Almunge VC</t>
  </si>
  <si>
    <t>Knutbyt/Länna minskad inhyrningskost</t>
  </si>
  <si>
    <t>Enköping minskad  hyreskostnad lämnar externt förhyrda lokaler</t>
  </si>
  <si>
    <t>minskad hyreskostnad förutsatt inhyrda lokaler lämnas i Enköping</t>
  </si>
  <si>
    <t>Ambulansstation Tierp nuvarande inhyrning</t>
  </si>
  <si>
    <t xml:space="preserve">minskad hyreskostnad förutsatt inhyrda lokaler lämnas </t>
  </si>
  <si>
    <t>PV 60%, FTV 14%</t>
  </si>
  <si>
    <t>Rivning Östervåla, kostnad för drift, avskr och ränta</t>
  </si>
  <si>
    <t>avser kostnad för drift, avsk och ränta förutsatt att huset rivs</t>
  </si>
  <si>
    <t>Lämnar externa lokaler för Rättspsyk och äldrepsyk Ulleråker</t>
  </si>
  <si>
    <t>inhyrnignskostnad för rättspsyk och äldrepsyk</t>
  </si>
  <si>
    <t>N och P blocket rivning minskad driftkostnad</t>
  </si>
  <si>
    <t>minskad kostnad för drift förutsatt att N och P rivs. Osäkerhet om/när rivas??</t>
  </si>
  <si>
    <t>Summa kostnads-minskningar</t>
  </si>
  <si>
    <t>Förv.</t>
  </si>
  <si>
    <t>Projektnamn</t>
  </si>
  <si>
    <t>Projekt- nummer</t>
  </si>
  <si>
    <t>Projekt beskrivning</t>
  </si>
  <si>
    <t>Prio</t>
  </si>
  <si>
    <t>Kommnentar prio</t>
  </si>
  <si>
    <t>FI/HI proj</t>
  </si>
  <si>
    <t>Finansiär</t>
  </si>
  <si>
    <t>Drift kons</t>
  </si>
  <si>
    <t/>
  </si>
  <si>
    <t>Akademiska sjukhuset</t>
  </si>
  <si>
    <t>Oförutsett</t>
  </si>
  <si>
    <t>Ej förutsedda kostnader i pågående projekt</t>
  </si>
  <si>
    <t>Akuta behov</t>
  </si>
  <si>
    <t>HI</t>
  </si>
  <si>
    <t>behov</t>
  </si>
  <si>
    <t xml:space="preserve">kostnad baserad på 2 etapper </t>
  </si>
  <si>
    <t>ägartillskott</t>
  </si>
  <si>
    <t xml:space="preserve">följdprojekt av FAS, tillskott från ägare </t>
  </si>
  <si>
    <t>10-14 nya operationssalar för evakuering för B9/B12 operation</t>
  </si>
  <si>
    <r>
      <t xml:space="preserve">3 500-4 000 kvm a 40 tkr* kvm = 160 000 tkr. </t>
    </r>
    <r>
      <rPr>
        <sz val="12"/>
        <color rgb="FFC00000"/>
        <rFont val="Arial"/>
        <family val="2"/>
      </rPr>
      <t>Effekt J-huset?, placering okänd, ej möjligt att prissätta i dagsläget</t>
    </r>
  </si>
  <si>
    <t>Sjukhuset har utrett operationsverksamheten ur flera perspektiv. Det kan konstaterats att ett evakueringsutr. om ca 10 op. salar är nödvändigt inom en tämligen snar framtid då de bef. op.avd kommer att renoveras. Vidare kan denna yta efter att renoveringarna färdigställts användas som dag- och kortvårdskrurgisk verksamhet som har ett påvisat behov om 10-14 salar. Måste vara klart för evakuering av B9</t>
  </si>
  <si>
    <t>Ombyggnad 30D återställande av vårdavdelningar</t>
  </si>
  <si>
    <t xml:space="preserve">ny </t>
  </si>
  <si>
    <t>ny lokaler för hudmottag måste tillskapas innan denna omb görs</t>
  </si>
  <si>
    <t>FAS omstrukturering, enpatient rum, evakuering - färre vårdplatser. J-huset ???</t>
  </si>
  <si>
    <t>Arytmilab B3 samt flytta PCI-lab från B9 till B2</t>
  </si>
  <si>
    <t>ny + 8041113</t>
  </si>
  <si>
    <t>3 nya lab</t>
  </si>
  <si>
    <t>kapacitetsbrist C-län, RR, hög spec vård</t>
  </si>
  <si>
    <t>del inom ram, del ägartillskott</t>
  </si>
  <si>
    <t>delar kan tas inom ram AS + tillskott fr ägare</t>
  </si>
  <si>
    <t>Anpassning lokal för Rättspsyk</t>
  </si>
  <si>
    <t>ombyggnation av D1 för rättspsyk och äldrepsyk. Ligger kvar på Ulleråker tills D1 klart</t>
  </si>
  <si>
    <t>tvingande flytt pga Ulleråker</t>
  </si>
  <si>
    <t>hyrestid beräknad på 30 år</t>
  </si>
  <si>
    <t>tvingande flytt fr Ulleråker, tillskott fr ägare</t>
  </si>
  <si>
    <t>Fastighetsinv i samband med nyinvestering i utrustning</t>
  </si>
  <si>
    <t xml:space="preserve">samlingsprojekt för byggåt. som utförs pga av ny utr ex kameror, lab, enl underlag fr AS (MRT, datortomografi, Rtg apparater , Enköping. </t>
  </si>
  <si>
    <t>Anpassningar av fastighet för MTU utrustning</t>
  </si>
  <si>
    <t>inom ram</t>
  </si>
  <si>
    <t>inom ram AS</t>
  </si>
  <si>
    <t>Ombyggnation och renovering 30-50 husen (B17, B19)</t>
  </si>
  <si>
    <t>behov av reinvestering i byggnaden samt verksamhetsåtgärder</t>
  </si>
  <si>
    <t>tekniskt + versamhets-mässigt behov</t>
  </si>
  <si>
    <t>HI/FI</t>
  </si>
  <si>
    <t xml:space="preserve">tillskott från ägare </t>
  </si>
  <si>
    <t>Ambulansstaiton Gränby</t>
  </si>
  <si>
    <t>extern byggherre. Inv avser anpassningsåtg</t>
  </si>
  <si>
    <t>anpassningsåtg</t>
  </si>
  <si>
    <t>Ny luftbro förbindelse F-B blocket och J-husen utmed fasad F-blocket samt nytt hisschakt för 2 hissar</t>
  </si>
  <si>
    <t>förstudie 2107, program 2018, genomförande 2019-20</t>
  </si>
  <si>
    <t>K/B</t>
  </si>
  <si>
    <t>Påbyggnad adm lokaler ca150 platser</t>
  </si>
  <si>
    <t>Barnspecmottagning flytt fr plan 5 till plan 6</t>
  </si>
  <si>
    <t>lokal dag består av adm lokaler, anpassning av WC, handfat osv</t>
  </si>
  <si>
    <t>oförutsett KB ombyggnation</t>
  </si>
  <si>
    <t>Ny Cyklotron</t>
  </si>
  <si>
    <t>ombyggnation av PET-centrum</t>
  </si>
  <si>
    <t>Gammal på övertid, expansiv verkamhet för AS</t>
  </si>
  <si>
    <t>förstudie</t>
  </si>
  <si>
    <t>ny byggnad?? Avskrivningstid satt till 30 år</t>
  </si>
  <si>
    <t>Dialysavdelning</t>
  </si>
  <si>
    <t>Flytt av Dialys fr 70 huset till ing 65 eller annan plats pga FAS. Är beroende på tidplan B11, utförs i etapp 2. klar Q1 19</t>
  </si>
  <si>
    <t>tvingande behov pga FAS, måste vara klar innan evakuering av B11</t>
  </si>
  <si>
    <t>klart halvåret 2017</t>
  </si>
  <si>
    <t>Produktionskök Akademiska</t>
  </si>
  <si>
    <t>8040712, 8041697</t>
  </si>
  <si>
    <t>beslut ny förstudie 3 mnkr FSN 1609 utförs 2017 + påbörjat prg 2017. Beslut taget i SHS 170328 att prod. Köket hanteras och beslutas av FSN</t>
  </si>
  <si>
    <t>Beslut taget i SHS 170328 att prod. Köket hanteras och beslutas av FSN</t>
  </si>
  <si>
    <t>ej känt</t>
  </si>
  <si>
    <t>Kvinna &amp; Barn ny neonatalavd</t>
  </si>
  <si>
    <t xml:space="preserve">förstudien klar under höst 2016, program under 2017. </t>
  </si>
  <si>
    <t xml:space="preserve">Kvinna &amp; Barn utredning </t>
  </si>
  <si>
    <t>utredning för ombyggnation av F-blocket inkl. Ambulanshall + arbetsmiljöåtg Barnakuten</t>
  </si>
  <si>
    <t>hyreskostnad baserad på etapp 1, inv motsvarande 676 mnkr, etapp 2 824 mnkr</t>
  </si>
  <si>
    <t>Tillnyktringsenhet</t>
  </si>
  <si>
    <t>avser tillbyggnad på Psykiatrinshus 300 kvm  a 30 tkr/kvm = 10 mnkr</t>
  </si>
  <si>
    <t>övertas fr polisen, oklar finanisering?? Myndighetskrav</t>
  </si>
  <si>
    <t>förstudie/program</t>
  </si>
  <si>
    <t>direktiv till AS,  tillskott från ägare</t>
  </si>
  <si>
    <t>rörpost/smågods transportör</t>
  </si>
  <si>
    <t xml:space="preserve">ny smågodstransportör med större diameter som kan ta fler typer av gods. </t>
  </si>
  <si>
    <t>pågår</t>
  </si>
  <si>
    <t>genom förande</t>
  </si>
  <si>
    <t>etappvis</t>
  </si>
  <si>
    <t>33 % inom ram 67 % ägartillskott</t>
  </si>
  <si>
    <t>1/3 av inom ram AS, 2/3 tillskott fr ägare</t>
  </si>
  <si>
    <t xml:space="preserve">Förrådshissar B11 </t>
  </si>
  <si>
    <t>Hissar som ska fungera som förråd för verksamheten. B11 2018. konsekvensanalys pågår</t>
  </si>
  <si>
    <t xml:space="preserve">Vi håller på att utreda behovet i B11 . Om de plockas bort behöver vi hissar i de ytorna alternativt lämna det tomt </t>
  </si>
  <si>
    <t>program</t>
  </si>
  <si>
    <t>Förrådshissar J-huset</t>
  </si>
  <si>
    <t xml:space="preserve">AS har efter utredning beslutat att inte sätta in någon förrrådshiss i J-huset. Förrådshanteringen ska lösas på annat sätt. </t>
  </si>
  <si>
    <t xml:space="preserve">Vi har lämnat in en programändring att ta bort förrådshissar i 100-huset. Om de plockas bort behöver vi hissar i de ytorna alternativt lämna det tomt </t>
  </si>
  <si>
    <t>Koppling till tidplan B11, B12?!</t>
  </si>
  <si>
    <t>Flyttat till 2021</t>
  </si>
  <si>
    <t>Anpassningar B9 och B12 till ing 100</t>
  </si>
  <si>
    <t xml:space="preserve">korridorer inkl hisshöjning, omklädning, nya förbindelsekorridorer mot luftbroar </t>
  </si>
  <si>
    <t>Måste göras i samband med färdigställande av 100-huset för att kunna nyttja 100-huset</t>
  </si>
  <si>
    <t>klar till ing 100 tas i bruk 2019</t>
  </si>
  <si>
    <t>FAS, tillskott fr ägare</t>
  </si>
  <si>
    <t>Behandlingsbyggnad B9  Centralblocket</t>
  </si>
  <si>
    <t>inkl prg arbet 8040552,178. program,+ systemhandl proj 2018, bygghandl proj 2019, rest. bygghandling 2021, anpass, provis 2022, prod 2022-2023</t>
  </si>
  <si>
    <t>När lokalförsörjningsplanen är klar i vår vet vi vilken ordning vi skall gå vidare med renoveringen av sjukhuset. Men B12 kan inte påbörjas förrän 100-huset är driftsatt. Sannolikt kommer vi komma fram til att börja med centralblocket pga dess centrala funktion för sjukhuset. Först B12 sedan B9.</t>
  </si>
  <si>
    <t>räknat med 1 etapp</t>
  </si>
  <si>
    <t>Behandlingsbyggnad B12 Centralblocket</t>
  </si>
  <si>
    <t xml:space="preserve">inkl prg arbete 8040552, 178. k-upphand 2017, program,+ systemhand proj 2018, bygghand proj 2019, förb. arb provis. höst 2019 6 mån, produktion 2 år 2020-21 </t>
  </si>
  <si>
    <t xml:space="preserve">När lokalförsörjningsplanen är klar i vår vet vi vilken ordning vi skall gå vidare med renoveringen av sjukhuset. Men B12 kan inte påbörjas förrän 100-huset är driftsatt. Sannolikt kommer vi komma fram til att börja med centralblocket pga dess centrala funktion för sjukhuset. </t>
  </si>
  <si>
    <t>räknat 1 etapp klar 2021 inkl index</t>
  </si>
  <si>
    <t>index B9/B12</t>
  </si>
  <si>
    <t>avser anpassningar flr ing i B9/B12 samt omb av B9 och B12</t>
  </si>
  <si>
    <t>Vårdbyggnad B11 inklusive Teknik (inkl index) inkl programändring läkarskeppet, IMA BIVA</t>
  </si>
  <si>
    <t>inkl prg arbete 8040203. Periodisering enl alt 1. dvs byggstart efter sommaren 2017. Ny upphandling</t>
  </si>
  <si>
    <t>3 etapper, 1:a klar 1906, 2:a 2006, 3:e 2106</t>
  </si>
  <si>
    <t>Nybyggnation ingång 100 (J huset) inkl kulvert. Inkl index</t>
  </si>
  <si>
    <t>inkl prg arbete 8040178,552</t>
  </si>
  <si>
    <t>klar 2018-06</t>
  </si>
  <si>
    <t>Summa Akademiska sjukhuset</t>
  </si>
  <si>
    <t>Lasarettet i Enköping</t>
  </si>
  <si>
    <t>Enk</t>
  </si>
  <si>
    <t>Hus B (5112) renovering</t>
  </si>
  <si>
    <t>utflytt av Soc. Tjänsten omb/renovering för lasarettets adm lokaler. FI medel 4 mnkr 2017 i FI plan</t>
  </si>
  <si>
    <t>Ej acceptabel arbetsmiljö, ej tillgänglig</t>
  </si>
  <si>
    <t>HI, FI</t>
  </si>
  <si>
    <t>Detta avser en nödvändig tvingande flytt på grund av oacceptabel arbetsmiljö i Gula Villan. Kompensation önskas för den del av hyran som överstiger nuvarande hyreskostnad.</t>
  </si>
  <si>
    <t>Hus A öppna upp mellan med avd 1 o 2 + kök</t>
  </si>
  <si>
    <t>ny</t>
  </si>
  <si>
    <t>bättre flöden, nytt kök försörjning båda avd</t>
  </si>
  <si>
    <t>Ändrat arbetssätt och flöden</t>
  </si>
  <si>
    <t>Bygga enpatientrum med toalett på vårdavdelningar</t>
  </si>
  <si>
    <t>25 mnkr/plan, 2 etapper</t>
  </si>
  <si>
    <t>Minska risker för smitta, ökad intrgritet för patienter, framtida vårdkrav</t>
  </si>
  <si>
    <t>Det finns ej ekonomisk möjlighet för lasarettet att klara denna kostnad inom befintlig ram.</t>
  </si>
  <si>
    <t>Utökad verksamhet på sterilenheten</t>
  </si>
  <si>
    <t>ev nybyggnation/utbyggnad för att möjliggöra utökad verksamhet på sterilen</t>
  </si>
  <si>
    <t>utökad verksamhet, korsande flöden rent-orent</t>
  </si>
  <si>
    <t>Det finns ej ekonomisk möjlighet för lasarettet att klara denna kostnad inom befintlig ram</t>
  </si>
  <si>
    <t>Förbättra flöden på operation fr preop till postop</t>
  </si>
  <si>
    <t>verksamhetsanpassning, optimera lokaler, utökad verksamhet</t>
  </si>
  <si>
    <t>Utöka kyla till hus A</t>
  </si>
  <si>
    <t>kyla ej tillgängligt på vårdavd</t>
  </si>
  <si>
    <t>Behov av adm lokaler för kirurgiskt centrum</t>
  </si>
  <si>
    <t>utspridd verksamhet</t>
  </si>
  <si>
    <t>Ny och större huvudentré Lasarettet</t>
  </si>
  <si>
    <t>för liten entré mht besöksflödet</t>
  </si>
  <si>
    <t>Huvudentrén ligger inom LSUs ansvar i dagsläget. Det finns ej ekonomisk möjlighet för lasarettet att klara denna kostnad inom befintlig ram</t>
  </si>
  <si>
    <t>Större väntrum Radiologi</t>
  </si>
  <si>
    <t>bef väntrum delas med lab, räcker ej till</t>
  </si>
  <si>
    <t>väntrum för litet</t>
  </si>
  <si>
    <t xml:space="preserve">Kan enbart genomföras i samband med eventuell om-/utbyggnad av huvudentrén, </t>
  </si>
  <si>
    <t>Summa Lasarettet i Enköping</t>
  </si>
  <si>
    <t>Kollektivtrafik</t>
  </si>
  <si>
    <t>Reglerplats dvs. belyst, inghängnad yta för 10 bussar + lokal + WC</t>
  </si>
  <si>
    <t>cental plats för tidsreglering för bussar, parkeras 10-30 min innan avgång. Idag används plats vid Lindvallkaffe, kommunen vill använda platsen. Klart 2019</t>
  </si>
  <si>
    <t>inom budget. hyreskostnad för förarlokal, drift av ytan hanteras av U-a kommun</t>
  </si>
  <si>
    <t>2-3 större hållplatser/bytespunkter med väntsal/inomhus-väntsal nybyggnation</t>
  </si>
  <si>
    <t>inom Uppsala stad, ej exakt lokalisering klart 2020</t>
  </si>
  <si>
    <t>?</t>
  </si>
  <si>
    <t>tillkommande hyreskostnader, vem finansierar?</t>
  </si>
  <si>
    <t xml:space="preserve">KTF </t>
  </si>
  <si>
    <t>5-10 väntsalar/ avancerade hållplatser</t>
  </si>
  <si>
    <t>inom Uppslaa län vid strategiska platser klart 2024</t>
  </si>
  <si>
    <t>slavdepå, ramper, tvätthall, förarlokal</t>
  </si>
  <si>
    <t>Uppställningsyta för bussar när stadsbussdepå nyttjas fullt ut redan 2019-2020</t>
  </si>
  <si>
    <t xml:space="preserve">ägartillskott delvis, samma princi som stadsbussdepå Uppsala </t>
  </si>
  <si>
    <t>Ny bussdepå Enköping</t>
  </si>
  <si>
    <t>depå i Enköpig för 60 bussar, ramper, tankning/laddning, verkstad, tvätthall + personalutrymme. Klart 2026. Baserat på kalkyl stadsbussdepå Uppsala</t>
  </si>
  <si>
    <t>5-10 förartoaletter inom länet på strategiska platser</t>
  </si>
  <si>
    <t>ev inmhyrning eller nybyggnation av avancerade "bajamajor"</t>
  </si>
  <si>
    <t>Stadsbussdepå Fyrislund</t>
  </si>
  <si>
    <t>baserat på inv 850 mnkr inkl index tom 2019, inkl 92 mnkr för mark 2017</t>
  </si>
  <si>
    <t>upparb tom 2016 43 mnkr. Mark 92 mnkr = 135 mnkr</t>
  </si>
  <si>
    <t xml:space="preserve">Inkl markköp 92 mnkr år 2017. Byggstart 2017, klart 2019 </t>
  </si>
  <si>
    <t>40% inom ram, 60% ägartillskott</t>
  </si>
  <si>
    <t>KTF genom minskad hyra bef. depå 21 mnkr. Tillskott fr ägare resterande</t>
  </si>
  <si>
    <t>Summa Kollektivtrafik</t>
  </si>
  <si>
    <t>Övrigt</t>
  </si>
  <si>
    <t>Primärvården omb av Vårdcentraler</t>
  </si>
  <si>
    <t>samlingsprojekt för mindre åtgärder på landstingets VC inhyrda/egna lokaler</t>
  </si>
  <si>
    <t>5-13</t>
  </si>
  <si>
    <t>samlingsproj</t>
  </si>
  <si>
    <t>10 års avsk tid</t>
  </si>
  <si>
    <t>inom PV budget</t>
  </si>
  <si>
    <t>Primärvården Alunda</t>
  </si>
  <si>
    <t>omb alt flytt nya lokaler</t>
  </si>
  <si>
    <t>ej ändamålsenl. lokaler, dåligt skick</t>
  </si>
  <si>
    <t>Primärvården Knivsta</t>
  </si>
  <si>
    <t>inhyrd lokal. ers av nuvarandelokal för VC</t>
  </si>
  <si>
    <t>ej ändamålsenl. Lokaler</t>
  </si>
  <si>
    <t>Primärvården Samariterhemmet</t>
  </si>
  <si>
    <t>ombygg för verksamhet fr CD huset som LUL lämnar 2018</t>
  </si>
  <si>
    <t>samlad verksamhet absolut behov</t>
  </si>
  <si>
    <t>15 års avsk tid</t>
  </si>
  <si>
    <t>tvingande flytt PV</t>
  </si>
  <si>
    <t>Primärvården Flogsta</t>
  </si>
  <si>
    <t>ers för nuvarande lokal i Flogsta</t>
  </si>
  <si>
    <t>ej ändamålsenl.lokaler, kontrakt 2019</t>
  </si>
  <si>
    <t>Primärvården Gimo</t>
  </si>
  <si>
    <t>inhyrd lokal. omb alt flytt nya lokaler</t>
  </si>
  <si>
    <t>Primärvården Storvreta</t>
  </si>
  <si>
    <t>inhyrd lokal, omb flytt nya lokaler</t>
  </si>
  <si>
    <t>för liten lokal, växande befolk.</t>
  </si>
  <si>
    <t>Primärvården Fjärdhundra</t>
  </si>
  <si>
    <t>inhyrd lokal, omb alt flytt nya lokaler</t>
  </si>
  <si>
    <t>Primärvården Södra staden</t>
  </si>
  <si>
    <t>nyetablering/inhyrning</t>
  </si>
  <si>
    <t>växande befolkning</t>
  </si>
  <si>
    <t>Primärvården Centrala staden</t>
  </si>
  <si>
    <t>PV Enköping Hus C lasarettet, renovering</t>
  </si>
  <si>
    <t>PV vill flytta samman sin verksamhet i Enköping till ett primärvårdcentrum på lasarettområdet</t>
  </si>
  <si>
    <t>ej ändamålsenl. lokaler, dåligt skick, liten yta</t>
  </si>
  <si>
    <t>11 års avsk tid</t>
  </si>
  <si>
    <t>PV,FTV</t>
  </si>
  <si>
    <t>Tierp rivning och nybyggnation</t>
  </si>
  <si>
    <t>Rivning, avstyckning tomt samt nybyggnation för PV, FTV</t>
  </si>
  <si>
    <t>3, 1</t>
  </si>
  <si>
    <t>inomhus problem, ej ändamålsenl. Lokaler</t>
  </si>
  <si>
    <t>inom FTV budget, inom PV budget</t>
  </si>
  <si>
    <t>FTV</t>
  </si>
  <si>
    <t>Folktandvården Vretgränd</t>
  </si>
  <si>
    <t>omb flytt av spec tandläkare fr Vretgränd</t>
  </si>
  <si>
    <t>tomställs efter spec utflytt, anpassning</t>
  </si>
  <si>
    <t>inom FTV budget</t>
  </si>
  <si>
    <t>Fler FTV behandlingsrumpå Lasarettet i Enköping</t>
  </si>
  <si>
    <t>behov fler behandl rum, ge vård till patienter med särskilda behov. Om LE släpper rum 1 mnkr, ny placering 10 mnkr</t>
  </si>
  <si>
    <t>HOH</t>
  </si>
  <si>
    <t>Kungsgärdet nybyggnation</t>
  </si>
  <si>
    <t xml:space="preserve">nybyggnation ersätt för befintliga byggnader i dåligt skick. utökad behovsanalys och förstudie under 2018, program 2019. </t>
  </si>
  <si>
    <t>Del inom ram/ del ägartillskott, framtida kostnader är osäkra innan förstudie genomförts</t>
  </si>
  <si>
    <t>Hälsoäventryret</t>
  </si>
  <si>
    <t>behov av nya lokaler pga tvingande flytt, tänkt flytt till Kungsgärdet. Utredning  får visa på inv storlek</t>
  </si>
  <si>
    <t>tvingande flytt</t>
  </si>
  <si>
    <t>Närvårdsavdelning</t>
  </si>
  <si>
    <t>behov av nya lokaler pga tvingande flytt fr Ulleråker fr feb 2019: LSU utreder möjliga lösningar</t>
  </si>
  <si>
    <t xml:space="preserve">Nybyggnation Östervåla - FTV, PV, apotek </t>
  </si>
  <si>
    <t>nybyggnation för ersättning av vattenskadad fastighet i dåligt skick</t>
  </si>
  <si>
    <t>2, 3</t>
  </si>
  <si>
    <t>ej ändamålsenl. lokaler, dåligt skick, växande befolkn.</t>
  </si>
  <si>
    <t>inom FTV, PV bef budget</t>
  </si>
  <si>
    <t>Kultur o Bildning</t>
  </si>
  <si>
    <t>omb gymnastiksal till Black box</t>
  </si>
  <si>
    <t>fortsatt utv av verksamhet</t>
  </si>
  <si>
    <t>del inom ram del tillskott. På sikt inom ram</t>
  </si>
  <si>
    <t>ombyggnation/anpassning inhyrda lokaler Ultuna,  Folkhögskola</t>
  </si>
  <si>
    <t>anpassning inhyrd lokal</t>
  </si>
  <si>
    <t>inom KoB budget</t>
  </si>
  <si>
    <t>Almunge ny VC</t>
  </si>
  <si>
    <t>ersätter PV i Knutby och Länna</t>
  </si>
  <si>
    <t>ej ändamålsenl. lokaler, mycket dåligt skick</t>
  </si>
  <si>
    <t>inom PV bef budget</t>
  </si>
  <si>
    <t>Summa övrigt</t>
  </si>
  <si>
    <t>FI investeringar</t>
  </si>
  <si>
    <t>LSU</t>
  </si>
  <si>
    <t>FI åtgärder B9</t>
  </si>
  <si>
    <t xml:space="preserve">inkl påslag för proj, BH, provisorier enl uppgift fr FAS </t>
  </si>
  <si>
    <t>avkast.krav</t>
  </si>
  <si>
    <t>LSU avk. krav</t>
  </si>
  <si>
    <t>FI åtgärder B12</t>
  </si>
  <si>
    <t>Nytt Energiprogram 2019-2021</t>
  </si>
  <si>
    <t>Stamrenovering  AS</t>
  </si>
  <si>
    <t>åtg i byggnader AS där frekeventa läckor förekommer</t>
  </si>
  <si>
    <t>VS01</t>
  </si>
  <si>
    <t>fjärrvärmeomläggning</t>
  </si>
  <si>
    <t>F13 garage</t>
  </si>
  <si>
    <t>åtgärder för tät -och ytskikt samt infart och anslutning till väg fr södra infarten</t>
  </si>
  <si>
    <t>Akvifer Energiåtgärder 2015-2018</t>
  </si>
  <si>
    <t>8040263, 8041338</t>
  </si>
  <si>
    <t xml:space="preserve"> </t>
  </si>
  <si>
    <t>Kulvert B3</t>
  </si>
  <si>
    <t>möts av minskade energikostnader</t>
  </si>
  <si>
    <t>Samariterhemmet ny entré</t>
  </si>
  <si>
    <t>Diakonistiftelsen finansierar 5 mnkr, rest RU 9 mnkr = tot 14 mnkr</t>
  </si>
  <si>
    <t xml:space="preserve">FI åtgärder </t>
  </si>
  <si>
    <t>VVS, el, bygg åtgärder</t>
  </si>
  <si>
    <t>sop och tvättsug</t>
  </si>
  <si>
    <t>infrastrukturåtgärder</t>
  </si>
  <si>
    <t>Energiåtgärder 2015-2018</t>
  </si>
  <si>
    <t>flera proj nr</t>
  </si>
  <si>
    <t>enligt LULs miljöprogram. Flyttat fr 2018-19 till 2020-21</t>
  </si>
  <si>
    <t>Summa FI investeringar</t>
  </si>
  <si>
    <t>Summa Investeringar</t>
  </si>
  <si>
    <t xml:space="preserve">"Osäkra Investeringar" </t>
  </si>
  <si>
    <t>Summa osäkra investeringar</t>
  </si>
  <si>
    <t>tilldelat</t>
  </si>
  <si>
    <t>Summa Investeringar     2017-2019</t>
  </si>
  <si>
    <t>Total projektplan tom 2026</t>
  </si>
  <si>
    <t>behov FI</t>
  </si>
  <si>
    <t>förstudie FI</t>
  </si>
  <si>
    <t>program FI</t>
  </si>
  <si>
    <t>genomförande FI</t>
  </si>
  <si>
    <t>behov HI</t>
  </si>
  <si>
    <t>förstudie HI</t>
  </si>
  <si>
    <t>program HI</t>
  </si>
  <si>
    <t>genomförande HI</t>
  </si>
  <si>
    <t>FAS</t>
  </si>
  <si>
    <t>Anpass 100</t>
  </si>
  <si>
    <t>B9</t>
  </si>
  <si>
    <t>B12</t>
  </si>
  <si>
    <t>Summa B9/B12</t>
  </si>
  <si>
    <t>B11 inkl prg ändring</t>
  </si>
  <si>
    <t>J-huset</t>
  </si>
  <si>
    <t>Före just</t>
  </si>
  <si>
    <t>Efter just</t>
  </si>
  <si>
    <t>Summa investeringar före senareläggning</t>
  </si>
  <si>
    <t>Nr 1</t>
  </si>
  <si>
    <t>Nr 67</t>
  </si>
  <si>
    <t>Nr 74</t>
  </si>
  <si>
    <t>Nr 77</t>
  </si>
  <si>
    <t>Summa investeringar efter senareläggning</t>
  </si>
  <si>
    <t>Kontroll</t>
  </si>
  <si>
    <t>Sjukhusstyrelsen</t>
  </si>
  <si>
    <t>Vårdstyrelsen</t>
  </si>
  <si>
    <t>Kollektivtrafiknämnden</t>
  </si>
  <si>
    <t>Fastighets- och servicenämnden</t>
  </si>
  <si>
    <t>Fastighetsinvesteringsram, tkr</t>
  </si>
  <si>
    <t>Plan 2019</t>
  </si>
  <si>
    <t>Plan 2020</t>
  </si>
  <si>
    <t>Plan 2021</t>
  </si>
  <si>
    <t>Plan 2022</t>
  </si>
  <si>
    <t>Plan 2023</t>
  </si>
  <si>
    <t>Totalt planperiod</t>
  </si>
  <si>
    <t>Investeringar ingående i ramar för investering 2018-2027</t>
  </si>
  <si>
    <t>Summa Lasaretet i Enköping</t>
  </si>
  <si>
    <t>Summa kollektivtrafik</t>
  </si>
  <si>
    <t>förstudie/ program</t>
  </si>
  <si>
    <t>Summa  investeringar</t>
  </si>
  <si>
    <t xml:space="preserve">Investeringar enl inv plan efter år 2024 </t>
  </si>
  <si>
    <t>Kollektiv-trafiknämnden</t>
  </si>
  <si>
    <t>Kollektivtrafik-nämnden</t>
  </si>
  <si>
    <t>2-3 större hållplatser/bytespunkter med väntsal</t>
  </si>
  <si>
    <t xml:space="preserve">Ombyggnation och renovering 30-50 husen </t>
  </si>
  <si>
    <t>Ny luftbro förbindelse F-B -J, nytt hisschakt. Förutsättning  för omb. Neonatal</t>
  </si>
  <si>
    <t>Vårdbyggnad B11 (inkl index) inkl PÄ läkarskeppet, IMA BIVA</t>
  </si>
  <si>
    <t>Nybyggnation ingång 100  inkl kulvert. Inkl index</t>
  </si>
</sst>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0"/>
      <name val="Arial"/>
      <family val="2"/>
    </font>
    <font>
      <sz val="10"/>
      <name val="Arial"/>
      <family val="2"/>
    </font>
    <font>
      <b/>
      <sz val="14"/>
      <name val="Arial"/>
      <family val="2"/>
    </font>
    <font>
      <b/>
      <sz val="9"/>
      <name val="Arial"/>
      <family val="2"/>
    </font>
    <font>
      <b/>
      <sz val="10"/>
      <name val="Arial"/>
      <family val="2"/>
    </font>
    <font>
      <sz val="9"/>
      <name val="Arial"/>
      <family val="2"/>
    </font>
    <font>
      <sz val="11"/>
      <name val="Arial"/>
      <family val="2"/>
    </font>
    <font>
      <b/>
      <sz val="11"/>
      <name val="Arial"/>
      <family val="2"/>
    </font>
    <font>
      <b/>
      <sz val="8"/>
      <name val="Arial"/>
      <family val="2"/>
    </font>
    <font>
      <sz val="8"/>
      <name val="Arial"/>
      <family val="2"/>
    </font>
    <font>
      <b/>
      <i/>
      <sz val="10"/>
      <name val="Arial"/>
      <family val="2"/>
    </font>
    <font>
      <sz val="8"/>
      <color theme="0" tint="-0.14999847407452621"/>
      <name val="Arial"/>
      <family val="2"/>
    </font>
    <font>
      <b/>
      <sz val="12"/>
      <name val="Arial"/>
      <family val="2"/>
    </font>
    <font>
      <sz val="10"/>
      <color theme="0" tint="-0.14999847407452621"/>
      <name val="Arial"/>
      <family val="2"/>
    </font>
    <font>
      <b/>
      <sz val="28"/>
      <name val="Arial"/>
      <family val="2"/>
    </font>
    <font>
      <sz val="28"/>
      <name val="Arial"/>
      <family val="2"/>
    </font>
    <font>
      <sz val="36"/>
      <name val="Arial"/>
      <family val="2"/>
    </font>
    <font>
      <sz val="12"/>
      <name val="Arial"/>
      <family val="2"/>
    </font>
    <font>
      <sz val="14"/>
      <name val="Arial"/>
      <family val="2"/>
    </font>
    <font>
      <b/>
      <sz val="10"/>
      <color rgb="FFFF0000"/>
      <name val="Arial"/>
      <family val="2"/>
    </font>
    <font>
      <sz val="10"/>
      <color rgb="FFFF0000"/>
      <name val="Arial"/>
      <family val="2"/>
    </font>
    <font>
      <sz val="12"/>
      <color rgb="FFFF0000"/>
      <name val="Arial"/>
      <family val="2"/>
    </font>
    <font>
      <sz val="14"/>
      <color rgb="FFFF0000"/>
      <name val="Arial"/>
      <family val="2"/>
    </font>
    <font>
      <b/>
      <i/>
      <sz val="12"/>
      <name val="Arial"/>
      <family val="2"/>
    </font>
    <font>
      <i/>
      <sz val="12"/>
      <name val="Arial"/>
      <family val="2"/>
    </font>
    <font>
      <sz val="12"/>
      <color theme="0" tint="-0.249977111117893"/>
      <name val="Arial"/>
      <family val="2"/>
    </font>
    <font>
      <sz val="10"/>
      <color theme="0" tint="-0.34998626667073579"/>
      <name val="Arial"/>
      <family val="2"/>
    </font>
    <font>
      <b/>
      <sz val="10"/>
      <color theme="0" tint="-0.249977111117893"/>
      <name val="Arial"/>
      <family val="2"/>
    </font>
    <font>
      <sz val="10"/>
      <color theme="0" tint="-0.249977111117893"/>
      <name val="Arial"/>
      <family val="2"/>
    </font>
    <font>
      <b/>
      <sz val="14"/>
      <color rgb="FFFF0000"/>
      <name val="Arial"/>
      <family val="2"/>
    </font>
    <font>
      <u/>
      <sz val="10"/>
      <name val="Arial"/>
      <family val="2"/>
    </font>
    <font>
      <i/>
      <sz val="10"/>
      <name val="Arial"/>
      <family val="2"/>
    </font>
    <font>
      <sz val="12"/>
      <color rgb="FFC00000"/>
      <name val="Arial"/>
      <family val="2"/>
    </font>
    <font>
      <i/>
      <sz val="10"/>
      <color rgb="FFFF0000"/>
      <name val="Arial"/>
      <family val="2"/>
    </font>
    <font>
      <i/>
      <sz val="12"/>
      <color rgb="FFFF0000"/>
      <name val="Arial"/>
      <family val="2"/>
    </font>
    <font>
      <b/>
      <sz val="12"/>
      <color indexed="10"/>
      <name val="Arial"/>
      <family val="2"/>
    </font>
    <font>
      <b/>
      <i/>
      <sz val="12"/>
      <color indexed="10"/>
      <name val="Arial"/>
      <family val="2"/>
    </font>
    <font>
      <sz val="12"/>
      <color indexed="10"/>
      <name val="Arial"/>
      <family val="2"/>
    </font>
    <font>
      <b/>
      <i/>
      <sz val="14"/>
      <name val="Arial"/>
      <family val="2"/>
    </font>
    <font>
      <b/>
      <i/>
      <sz val="11"/>
      <name val="Arial"/>
      <family val="2"/>
    </font>
    <font>
      <b/>
      <sz val="10"/>
      <color theme="0" tint="-0.499984740745262"/>
      <name val="Arial"/>
      <family val="2"/>
    </font>
    <font>
      <sz val="16"/>
      <color theme="0" tint="-0.499984740745262"/>
      <name val="Arial"/>
      <family val="2"/>
    </font>
    <font>
      <sz val="10"/>
      <color theme="0" tint="-0.499984740745262"/>
      <name val="Arial"/>
      <family val="2"/>
    </font>
    <font>
      <i/>
      <sz val="14"/>
      <name val="Arial"/>
      <family val="2"/>
    </font>
    <font>
      <sz val="9"/>
      <color indexed="81"/>
      <name val="Tahoma"/>
      <family val="2"/>
    </font>
    <font>
      <sz val="16"/>
      <color indexed="81"/>
      <name val="Tahoma"/>
      <family val="2"/>
    </font>
    <font>
      <sz val="18"/>
      <color indexed="81"/>
      <name val="Tahoma"/>
      <family val="2"/>
    </font>
    <font>
      <sz val="12"/>
      <color indexed="81"/>
      <name val="Tahoma"/>
      <family val="2"/>
    </font>
    <font>
      <b/>
      <sz val="9"/>
      <color indexed="81"/>
      <name val="Tahoma"/>
      <family val="2"/>
    </font>
    <font>
      <sz val="10"/>
      <color indexed="81"/>
      <name val="Tahoma"/>
      <family val="2"/>
    </font>
    <font>
      <sz val="11"/>
      <color indexed="81"/>
      <name val="Tahoma"/>
      <family val="2"/>
    </font>
    <font>
      <b/>
      <i/>
      <sz val="9"/>
      <name val="Arial"/>
      <family val="2"/>
    </font>
    <font>
      <sz val="9"/>
      <color theme="0" tint="-0.14999847407452621"/>
      <name val="Arial"/>
      <family val="2"/>
    </font>
    <font>
      <b/>
      <sz val="9"/>
      <color rgb="FFFFFFFF"/>
      <name val="Arial"/>
      <family val="2"/>
    </font>
    <font>
      <sz val="9"/>
      <color theme="1"/>
      <name val="Arial"/>
      <family val="2"/>
    </font>
    <font>
      <b/>
      <sz val="9"/>
      <color rgb="FF000000"/>
      <name val="Arial"/>
      <family val="2"/>
    </font>
    <font>
      <b/>
      <sz val="9"/>
      <color theme="1"/>
      <name val="Arial"/>
      <family val="2"/>
    </font>
    <font>
      <u/>
      <sz val="10"/>
      <color theme="0" tint="-0.249977111117893"/>
      <name val="Arial"/>
      <family val="2"/>
    </font>
    <font>
      <b/>
      <sz val="18"/>
      <name val="Arial"/>
      <family val="2"/>
    </font>
    <font>
      <sz val="18"/>
      <name val="Arial"/>
      <family val="2"/>
    </font>
    <font>
      <b/>
      <sz val="12"/>
      <color theme="0"/>
      <name val="Arial"/>
      <family val="2"/>
    </font>
    <font>
      <b/>
      <sz val="10"/>
      <color theme="0"/>
      <name val="Arial"/>
      <family val="2"/>
    </font>
    <font>
      <b/>
      <sz val="14"/>
      <color theme="0"/>
      <name val="Arial"/>
      <family val="2"/>
    </font>
    <font>
      <b/>
      <sz val="11"/>
      <color theme="0"/>
      <name val="Arial"/>
      <family val="2"/>
    </font>
    <font>
      <b/>
      <sz val="16"/>
      <name val="Arial"/>
      <family val="2"/>
    </font>
    <font>
      <sz val="16"/>
      <name val="Arial"/>
      <family val="2"/>
    </font>
    <font>
      <sz val="9"/>
      <color theme="0" tint="-0.249977111117893"/>
      <name val="Arial"/>
      <family val="2"/>
    </font>
  </fonts>
  <fills count="26">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indexed="2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indexed="26"/>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rgb="FFC797BD"/>
        <bgColor indexed="64"/>
      </patternFill>
    </fill>
    <fill>
      <patternFill patternType="solid">
        <fgColor rgb="FF404040"/>
        <bgColor indexed="64"/>
      </patternFill>
    </fill>
    <fill>
      <patternFill patternType="solid">
        <fgColor rgb="FFF4B084"/>
        <bgColor indexed="64"/>
      </patternFill>
    </fill>
  </fills>
  <borders count="1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1">
    <xf numFmtId="0" fontId="0" fillId="0" borderId="0"/>
  </cellStyleXfs>
  <cellXfs count="402">
    <xf numFmtId="0" fontId="0" fillId="0" borderId="0" xfId="0"/>
    <xf numFmtId="0" fontId="2" fillId="0" borderId="0" xfId="0" applyFont="1"/>
    <xf numFmtId="3" fontId="0" fillId="0" borderId="0" xfId="0" applyNumberFormat="1"/>
    <xf numFmtId="0" fontId="1" fillId="0" borderId="0" xfId="0" applyFont="1"/>
    <xf numFmtId="0" fontId="4" fillId="0" borderId="0" xfId="0" applyFont="1"/>
    <xf numFmtId="3" fontId="4" fillId="0" borderId="0" xfId="0" applyNumberFormat="1" applyFont="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5" fillId="0" borderId="0" xfId="0" applyFont="1"/>
    <xf numFmtId="3" fontId="5" fillId="0" borderId="0" xfId="0" applyNumberFormat="1" applyFont="1" applyAlignment="1"/>
    <xf numFmtId="0" fontId="5" fillId="0" borderId="0" xfId="0" applyFont="1" applyAlignment="1"/>
    <xf numFmtId="3" fontId="6" fillId="0" borderId="3" xfId="0" applyNumberFormat="1" applyFont="1" applyBorder="1"/>
    <xf numFmtId="3" fontId="7" fillId="3" borderId="3" xfId="0" applyNumberFormat="1" applyFont="1" applyFill="1" applyBorder="1"/>
    <xf numFmtId="0" fontId="0" fillId="0" borderId="0" xfId="0" applyAlignment="1"/>
    <xf numFmtId="3" fontId="0" fillId="0" borderId="0" xfId="0" applyNumberFormat="1" applyAlignment="1"/>
    <xf numFmtId="0" fontId="1" fillId="0" borderId="0" xfId="0" applyFont="1" applyAlignment="1"/>
    <xf numFmtId="0" fontId="7" fillId="2" borderId="1" xfId="0" applyFont="1" applyFill="1" applyBorder="1"/>
    <xf numFmtId="3" fontId="7" fillId="2" borderId="2" xfId="0" applyNumberFormat="1" applyFont="1" applyFill="1" applyBorder="1" applyAlignment="1">
      <alignment wrapText="1"/>
    </xf>
    <xf numFmtId="3" fontId="7" fillId="4" borderId="2" xfId="0" applyNumberFormat="1" applyFont="1" applyFill="1" applyBorder="1"/>
    <xf numFmtId="3" fontId="7" fillId="4" borderId="3" xfId="0" applyNumberFormat="1" applyFont="1" applyFill="1" applyBorder="1"/>
    <xf numFmtId="0" fontId="6" fillId="0" borderId="0" xfId="0" applyFont="1"/>
    <xf numFmtId="0" fontId="3" fillId="5" borderId="3" xfId="0" applyFont="1" applyFill="1" applyBorder="1" applyAlignment="1">
      <alignment wrapText="1"/>
    </xf>
    <xf numFmtId="0" fontId="3" fillId="5" borderId="4" xfId="0" applyFont="1" applyFill="1" applyBorder="1" applyAlignment="1">
      <alignment wrapText="1"/>
    </xf>
    <xf numFmtId="3" fontId="1" fillId="0" borderId="0" xfId="0" applyNumberFormat="1" applyFont="1" applyAlignment="1"/>
    <xf numFmtId="0" fontId="1" fillId="0" borderId="0" xfId="0" applyFont="1" applyFill="1" applyBorder="1"/>
    <xf numFmtId="0" fontId="7" fillId="0" borderId="0" xfId="0" applyFont="1"/>
    <xf numFmtId="0" fontId="8" fillId="6" borderId="4" xfId="0" applyFont="1" applyFill="1" applyBorder="1" applyAlignment="1">
      <alignment wrapText="1"/>
    </xf>
    <xf numFmtId="0" fontId="8" fillId="7" borderId="4" xfId="0" applyFont="1" applyFill="1" applyBorder="1" applyAlignment="1">
      <alignment wrapText="1"/>
    </xf>
    <xf numFmtId="0" fontId="9" fillId="0" borderId="0" xfId="0" applyFont="1" applyAlignment="1">
      <alignment wrapText="1"/>
    </xf>
    <xf numFmtId="3" fontId="9" fillId="8" borderId="3" xfId="0" applyNumberFormat="1" applyFont="1" applyFill="1" applyBorder="1"/>
    <xf numFmtId="3" fontId="9" fillId="9" borderId="3" xfId="0" applyNumberFormat="1" applyFont="1" applyFill="1" applyBorder="1"/>
    <xf numFmtId="3" fontId="9" fillId="10" borderId="3" xfId="0" applyNumberFormat="1" applyFont="1" applyFill="1" applyBorder="1"/>
    <xf numFmtId="0" fontId="8" fillId="0" borderId="0" xfId="0" applyFont="1" applyAlignment="1">
      <alignment wrapText="1"/>
    </xf>
    <xf numFmtId="3" fontId="8" fillId="4" borderId="3" xfId="0" applyNumberFormat="1" applyFont="1" applyFill="1" applyBorder="1"/>
    <xf numFmtId="0" fontId="0" fillId="0" borderId="0" xfId="0" applyAlignment="1">
      <alignment wrapText="1"/>
    </xf>
    <xf numFmtId="3" fontId="5" fillId="8" borderId="3" xfId="0" applyNumberFormat="1" applyFont="1" applyFill="1" applyBorder="1"/>
    <xf numFmtId="3" fontId="5" fillId="9" borderId="3" xfId="0" applyNumberFormat="1" applyFont="1" applyFill="1" applyBorder="1"/>
    <xf numFmtId="3" fontId="5" fillId="10" borderId="3" xfId="0" applyNumberFormat="1" applyFont="1" applyFill="1" applyBorder="1"/>
    <xf numFmtId="3" fontId="3" fillId="4" borderId="3" xfId="0" applyNumberFormat="1" applyFont="1" applyFill="1" applyBorder="1"/>
    <xf numFmtId="0" fontId="8" fillId="0" borderId="0" xfId="0" applyFont="1" applyFill="1" applyAlignment="1">
      <alignment wrapText="1"/>
    </xf>
    <xf numFmtId="3" fontId="3" fillId="0" borderId="0" xfId="0" applyNumberFormat="1" applyFont="1" applyFill="1" applyBorder="1"/>
    <xf numFmtId="0" fontId="0" fillId="0" borderId="0" xfId="0" applyFill="1"/>
    <xf numFmtId="0" fontId="10" fillId="0" borderId="0" xfId="0" applyFont="1"/>
    <xf numFmtId="0" fontId="11" fillId="0" borderId="0" xfId="0" applyFont="1"/>
    <xf numFmtId="0" fontId="13" fillId="0" borderId="0" xfId="0" applyFont="1"/>
    <xf numFmtId="3" fontId="1" fillId="0" borderId="0" xfId="0" applyNumberFormat="1" applyFont="1" applyFill="1" applyBorder="1" applyAlignment="1"/>
    <xf numFmtId="3" fontId="0" fillId="0" borderId="0" xfId="0" applyNumberFormat="1" applyFill="1"/>
    <xf numFmtId="3" fontId="13" fillId="0" borderId="0" xfId="0" applyNumberFormat="1" applyFont="1"/>
    <xf numFmtId="3" fontId="4" fillId="0" borderId="0" xfId="0" applyNumberFormat="1" applyFont="1"/>
    <xf numFmtId="0" fontId="3" fillId="0" borderId="0" xfId="0" applyFont="1" applyAlignment="1">
      <alignment horizontal="center" vertical="center"/>
    </xf>
    <xf numFmtId="0" fontId="16" fillId="0" borderId="0" xfId="0" applyFont="1" applyAlignment="1">
      <alignment horizontal="left" vertical="center" wrapText="1"/>
    </xf>
    <xf numFmtId="0" fontId="12" fillId="2" borderId="3" xfId="0" applyFont="1" applyFill="1" applyBorder="1" applyAlignment="1">
      <alignment wrapText="1"/>
    </xf>
    <xf numFmtId="0" fontId="12" fillId="2" borderId="4" xfId="0" applyFont="1" applyFill="1" applyBorder="1" applyAlignment="1">
      <alignment wrapText="1"/>
    </xf>
    <xf numFmtId="0" fontId="12" fillId="5" borderId="4" xfId="0" applyFont="1" applyFill="1" applyBorder="1" applyAlignment="1">
      <alignment wrapText="1"/>
    </xf>
    <xf numFmtId="0" fontId="12" fillId="7" borderId="4" xfId="0" applyFont="1" applyFill="1" applyBorder="1" applyAlignment="1">
      <alignment wrapText="1"/>
    </xf>
    <xf numFmtId="0" fontId="12" fillId="6" borderId="4" xfId="0" applyFont="1" applyFill="1" applyBorder="1" applyAlignment="1">
      <alignment wrapText="1"/>
    </xf>
    <xf numFmtId="0" fontId="12" fillId="12" borderId="4" xfId="0" applyFont="1" applyFill="1" applyBorder="1" applyAlignment="1">
      <alignment wrapText="1"/>
    </xf>
    <xf numFmtId="0" fontId="4" fillId="0" borderId="0" xfId="0" applyFont="1" applyAlignment="1">
      <alignment horizontal="center" vertical="center"/>
    </xf>
    <xf numFmtId="0" fontId="17" fillId="0" borderId="0" xfId="0" applyFont="1" applyAlignment="1">
      <alignment horizontal="left"/>
    </xf>
    <xf numFmtId="0" fontId="17" fillId="0" borderId="0" xfId="0" applyFont="1" applyBorder="1"/>
    <xf numFmtId="3" fontId="17" fillId="0" borderId="3" xfId="0" applyNumberFormat="1" applyFont="1" applyBorder="1"/>
    <xf numFmtId="3" fontId="12" fillId="3" borderId="3" xfId="0" applyNumberFormat="1" applyFont="1" applyFill="1" applyBorder="1"/>
    <xf numFmtId="3" fontId="17" fillId="9" borderId="3" xfId="0" applyNumberFormat="1" applyFont="1" applyFill="1" applyBorder="1"/>
    <xf numFmtId="3" fontId="17" fillId="8" borderId="3" xfId="0" applyNumberFormat="1" applyFont="1" applyFill="1" applyBorder="1"/>
    <xf numFmtId="3" fontId="17" fillId="10" borderId="3" xfId="0" applyNumberFormat="1" applyFont="1" applyFill="1" applyBorder="1"/>
    <xf numFmtId="3" fontId="17" fillId="13" borderId="3" xfId="0" applyNumberFormat="1" applyFont="1" applyFill="1" applyBorder="1"/>
    <xf numFmtId="3" fontId="1" fillId="0" borderId="0" xfId="0" applyNumberFormat="1" applyFont="1"/>
    <xf numFmtId="0" fontId="17" fillId="0" borderId="0" xfId="0" applyFont="1"/>
    <xf numFmtId="0" fontId="4" fillId="0" borderId="0" xfId="0" applyFont="1" applyAlignment="1">
      <alignment horizontal="left"/>
    </xf>
    <xf numFmtId="0" fontId="4" fillId="0" borderId="0" xfId="0" applyFont="1" applyBorder="1"/>
    <xf numFmtId="0" fontId="12" fillId="2" borderId="1" xfId="0" applyFont="1" applyFill="1" applyBorder="1"/>
    <xf numFmtId="3" fontId="12" fillId="2" borderId="2" xfId="0" applyNumberFormat="1" applyFont="1" applyFill="1" applyBorder="1" applyAlignment="1">
      <alignment wrapText="1"/>
    </xf>
    <xf numFmtId="3" fontId="12" fillId="4" borderId="2" xfId="0" applyNumberFormat="1" applyFont="1" applyFill="1" applyBorder="1"/>
    <xf numFmtId="3" fontId="12" fillId="4" borderId="3" xfId="0" applyNumberFormat="1" applyFont="1" applyFill="1" applyBorder="1"/>
    <xf numFmtId="0" fontId="17" fillId="0" borderId="0" xfId="0" applyFont="1" applyAlignment="1">
      <alignment wrapText="1"/>
    </xf>
    <xf numFmtId="0" fontId="4" fillId="5" borderId="0" xfId="0" applyFont="1" applyFill="1" applyBorder="1"/>
    <xf numFmtId="0" fontId="0" fillId="0" borderId="0" xfId="0" applyAlignment="1">
      <alignment horizontal="left"/>
    </xf>
    <xf numFmtId="0" fontId="17" fillId="5" borderId="0" xfId="0" applyFont="1" applyFill="1" applyBorder="1"/>
    <xf numFmtId="3" fontId="12" fillId="14" borderId="3" xfId="0" applyNumberFormat="1" applyFont="1" applyFill="1" applyBorder="1"/>
    <xf numFmtId="0" fontId="19" fillId="0" borderId="0" xfId="0" applyFont="1" applyAlignment="1">
      <alignment horizontal="center" vertical="center"/>
    </xf>
    <xf numFmtId="0" fontId="20" fillId="0" borderId="0" xfId="0" applyFont="1"/>
    <xf numFmtId="0" fontId="20" fillId="0" borderId="0" xfId="0" applyFont="1" applyAlignment="1">
      <alignment horizontal="left"/>
    </xf>
    <xf numFmtId="0" fontId="21" fillId="0" borderId="0" xfId="0" applyFont="1" applyAlignment="1">
      <alignment wrapText="1"/>
    </xf>
    <xf numFmtId="0" fontId="21" fillId="0" borderId="0" xfId="0" applyFont="1" applyBorder="1"/>
    <xf numFmtId="0" fontId="22" fillId="0" borderId="1" xfId="0" applyFont="1" applyBorder="1" applyAlignment="1">
      <alignment wrapText="1"/>
    </xf>
    <xf numFmtId="0" fontId="22" fillId="0" borderId="6" xfId="0" applyFont="1" applyBorder="1" applyAlignment="1">
      <alignment wrapText="1"/>
    </xf>
    <xf numFmtId="3" fontId="21" fillId="0" borderId="3" xfId="0" applyNumberFormat="1" applyFont="1" applyBorder="1"/>
    <xf numFmtId="3" fontId="21" fillId="8" borderId="3" xfId="0" applyNumberFormat="1" applyFont="1" applyFill="1" applyBorder="1"/>
    <xf numFmtId="3" fontId="21" fillId="10" borderId="3" xfId="0" applyNumberFormat="1" applyFont="1" applyFill="1" applyBorder="1"/>
    <xf numFmtId="3" fontId="21" fillId="13" borderId="3" xfId="0" applyNumberFormat="1" applyFont="1" applyFill="1" applyBorder="1"/>
    <xf numFmtId="3" fontId="20" fillId="0" borderId="0" xfId="0" applyNumberFormat="1" applyFont="1"/>
    <xf numFmtId="0" fontId="21" fillId="0" borderId="0" xfId="0" applyFont="1"/>
    <xf numFmtId="0" fontId="20" fillId="0" borderId="0" xfId="0" applyFont="1" applyAlignment="1">
      <alignment wrapText="1"/>
    </xf>
    <xf numFmtId="0" fontId="12" fillId="0" borderId="0" xfId="0" applyFont="1" applyAlignment="1">
      <alignment wrapText="1"/>
    </xf>
    <xf numFmtId="0" fontId="12" fillId="5" borderId="0" xfId="0" applyFont="1" applyFill="1" applyBorder="1"/>
    <xf numFmtId="0" fontId="2" fillId="0" borderId="1" xfId="0" applyFont="1" applyBorder="1" applyAlignment="1">
      <alignment horizontal="left"/>
    </xf>
    <xf numFmtId="0" fontId="2" fillId="0" borderId="6" xfId="0" applyFont="1" applyBorder="1" applyAlignment="1">
      <alignment wrapText="1"/>
    </xf>
    <xf numFmtId="3" fontId="12" fillId="0" borderId="3" xfId="0" applyNumberFormat="1" applyFont="1" applyBorder="1"/>
    <xf numFmtId="3" fontId="12" fillId="0" borderId="3" xfId="0" applyNumberFormat="1" applyFont="1" applyFill="1" applyBorder="1"/>
    <xf numFmtId="3" fontId="12" fillId="8" borderId="3" xfId="0" applyNumberFormat="1" applyFont="1" applyFill="1" applyBorder="1"/>
    <xf numFmtId="3" fontId="12" fillId="10" borderId="3" xfId="0" applyNumberFormat="1" applyFont="1" applyFill="1" applyBorder="1"/>
    <xf numFmtId="3" fontId="12" fillId="13" borderId="3" xfId="0" applyNumberFormat="1" applyFont="1" applyFill="1" applyBorder="1"/>
    <xf numFmtId="0" fontId="12" fillId="0" borderId="0" xfId="0" applyFont="1"/>
    <xf numFmtId="0" fontId="4" fillId="0" borderId="0" xfId="0" applyFont="1" applyAlignment="1">
      <alignment wrapText="1"/>
    </xf>
    <xf numFmtId="0" fontId="4" fillId="0" borderId="0" xfId="0" applyFont="1" applyFill="1" applyAlignment="1">
      <alignment horizontal="center" vertical="center"/>
    </xf>
    <xf numFmtId="0" fontId="17" fillId="0" borderId="0" xfId="0" applyFont="1" applyFill="1" applyBorder="1"/>
    <xf numFmtId="0" fontId="18" fillId="0" borderId="1" xfId="0" applyFont="1" applyFill="1" applyBorder="1" applyAlignment="1">
      <alignment wrapText="1"/>
    </xf>
    <xf numFmtId="0" fontId="18" fillId="0" borderId="6" xfId="0" applyFont="1" applyFill="1" applyBorder="1" applyAlignment="1">
      <alignment wrapText="1"/>
    </xf>
    <xf numFmtId="3" fontId="17" fillId="0" borderId="3" xfId="0" applyNumberFormat="1" applyFont="1" applyFill="1" applyBorder="1"/>
    <xf numFmtId="0" fontId="1" fillId="0" borderId="0" xfId="0" applyFont="1" applyFill="1"/>
    <xf numFmtId="3" fontId="1" fillId="0" borderId="0" xfId="0" applyNumberFormat="1" applyFont="1" applyFill="1"/>
    <xf numFmtId="0" fontId="17" fillId="0" borderId="0" xfId="0" applyFont="1" applyFill="1"/>
    <xf numFmtId="0" fontId="0" fillId="0" borderId="0" xfId="0" applyFill="1" applyAlignment="1">
      <alignment wrapText="1"/>
    </xf>
    <xf numFmtId="0" fontId="12" fillId="0" borderId="0" xfId="0" applyFont="1" applyAlignment="1">
      <alignment horizontal="center" vertical="center"/>
    </xf>
    <xf numFmtId="0" fontId="12" fillId="2" borderId="1" xfId="0" applyFont="1" applyFill="1" applyBorder="1" applyAlignment="1">
      <alignment wrapText="1"/>
    </xf>
    <xf numFmtId="3" fontId="12" fillId="2" borderId="3" xfId="0" applyNumberFormat="1" applyFont="1" applyFill="1" applyBorder="1" applyAlignment="1">
      <alignment wrapText="1"/>
    </xf>
    <xf numFmtId="0" fontId="12" fillId="7" borderId="3" xfId="0" applyFont="1" applyFill="1" applyBorder="1" applyAlignment="1">
      <alignment wrapText="1"/>
    </xf>
    <xf numFmtId="0" fontId="12" fillId="6" borderId="3" xfId="0" applyFont="1" applyFill="1" applyBorder="1" applyAlignment="1">
      <alignment wrapText="1"/>
    </xf>
    <xf numFmtId="0" fontId="12" fillId="12" borderId="3" xfId="0" applyFont="1" applyFill="1" applyBorder="1" applyAlignment="1">
      <alignment wrapText="1"/>
    </xf>
    <xf numFmtId="9" fontId="18" fillId="0" borderId="0" xfId="0" applyNumberFormat="1" applyFont="1" applyAlignment="1">
      <alignment wrapText="1"/>
    </xf>
    <xf numFmtId="0" fontId="12" fillId="0" borderId="0" xfId="0" applyFont="1" applyAlignment="1">
      <alignment horizontal="left"/>
    </xf>
    <xf numFmtId="9" fontId="2" fillId="0" borderId="0" xfId="0" applyNumberFormat="1" applyFont="1" applyAlignment="1">
      <alignment wrapText="1"/>
    </xf>
    <xf numFmtId="3" fontId="17" fillId="0" borderId="0" xfId="0" applyNumberFormat="1" applyFont="1" applyAlignment="1">
      <alignment wrapText="1"/>
    </xf>
    <xf numFmtId="3" fontId="17" fillId="0" borderId="0" xfId="0" applyNumberFormat="1" applyFont="1"/>
    <xf numFmtId="0" fontId="12" fillId="0" borderId="0" xfId="0" applyFont="1" applyBorder="1"/>
    <xf numFmtId="0" fontId="23" fillId="0" borderId="0" xfId="0" applyFont="1"/>
    <xf numFmtId="0" fontId="24" fillId="0" borderId="0" xfId="0" applyFont="1"/>
    <xf numFmtId="3" fontId="17" fillId="0" borderId="0" xfId="0" applyNumberFormat="1" applyFont="1" applyFill="1" applyBorder="1"/>
    <xf numFmtId="3" fontId="23" fillId="0" borderId="0" xfId="0" applyNumberFormat="1" applyFont="1" applyFill="1" applyBorder="1"/>
    <xf numFmtId="3" fontId="24" fillId="0" borderId="0" xfId="0" applyNumberFormat="1" applyFont="1" applyFill="1" applyBorder="1"/>
    <xf numFmtId="0" fontId="25" fillId="0" borderId="0" xfId="0" applyFont="1"/>
    <xf numFmtId="0" fontId="25" fillId="0" borderId="0" xfId="0" applyFont="1" applyAlignment="1">
      <alignment wrapText="1"/>
    </xf>
    <xf numFmtId="3" fontId="4" fillId="0" borderId="0" xfId="0" applyNumberFormat="1" applyFont="1" applyAlignment="1">
      <alignment horizontal="left"/>
    </xf>
    <xf numFmtId="0" fontId="26" fillId="0" borderId="0" xfId="0" applyFont="1"/>
    <xf numFmtId="0" fontId="26" fillId="0" borderId="0" xfId="0" applyFont="1" applyAlignment="1">
      <alignment wrapText="1"/>
    </xf>
    <xf numFmtId="0" fontId="27" fillId="0" borderId="0" xfId="0" applyFont="1" applyAlignment="1">
      <alignment horizontal="center" vertical="center"/>
    </xf>
    <xf numFmtId="3" fontId="28" fillId="0" borderId="0" xfId="0" applyNumberFormat="1" applyFont="1"/>
    <xf numFmtId="3" fontId="28" fillId="0" borderId="0" xfId="0" applyNumberFormat="1" applyFont="1" applyAlignment="1">
      <alignment horizontal="left"/>
    </xf>
    <xf numFmtId="3" fontId="25" fillId="0" borderId="0" xfId="0" applyNumberFormat="1" applyFont="1" applyAlignment="1">
      <alignment wrapText="1"/>
    </xf>
    <xf numFmtId="3" fontId="25" fillId="0" borderId="0" xfId="0" applyNumberFormat="1" applyFont="1" applyFill="1" applyBorder="1"/>
    <xf numFmtId="0" fontId="28" fillId="0" borderId="0" xfId="0" applyFont="1"/>
    <xf numFmtId="3" fontId="1" fillId="0" borderId="0" xfId="0" applyNumberFormat="1" applyFont="1" applyAlignment="1">
      <alignment horizontal="left"/>
    </xf>
    <xf numFmtId="0" fontId="2" fillId="0" borderId="0" xfId="0" applyFont="1" applyBorder="1" applyAlignment="1">
      <alignment wrapText="1"/>
    </xf>
    <xf numFmtId="0" fontId="1" fillId="0" borderId="0" xfId="0" applyFont="1" applyAlignment="1">
      <alignment wrapText="1"/>
    </xf>
    <xf numFmtId="3" fontId="20" fillId="0" borderId="0" xfId="0" applyNumberFormat="1" applyFont="1" applyAlignment="1">
      <alignment horizontal="left"/>
    </xf>
    <xf numFmtId="3" fontId="21" fillId="0" borderId="3" xfId="0" applyNumberFormat="1" applyFont="1" applyFill="1" applyBorder="1"/>
    <xf numFmtId="3" fontId="23" fillId="0" borderId="3" xfId="0" applyNumberFormat="1" applyFont="1" applyFill="1" applyBorder="1"/>
    <xf numFmtId="3" fontId="17" fillId="0" borderId="3" xfId="0" applyNumberFormat="1" applyFont="1" applyFill="1" applyBorder="1" applyAlignment="1">
      <alignment wrapText="1"/>
    </xf>
    <xf numFmtId="3" fontId="21" fillId="0" borderId="3" xfId="0" applyNumberFormat="1" applyFont="1" applyFill="1" applyBorder="1" applyAlignment="1">
      <alignment wrapText="1"/>
    </xf>
    <xf numFmtId="3" fontId="17" fillId="12" borderId="3" xfId="0" applyNumberFormat="1" applyFont="1" applyFill="1" applyBorder="1"/>
    <xf numFmtId="3" fontId="23" fillId="12" borderId="3" xfId="0" applyNumberFormat="1" applyFont="1" applyFill="1" applyBorder="1"/>
    <xf numFmtId="3" fontId="21" fillId="12" borderId="3" xfId="0" applyNumberFormat="1" applyFont="1" applyFill="1" applyBorder="1" applyAlignment="1">
      <alignment wrapText="1"/>
    </xf>
    <xf numFmtId="3" fontId="12" fillId="12" borderId="3" xfId="0" applyNumberFormat="1" applyFont="1" applyFill="1" applyBorder="1"/>
    <xf numFmtId="3" fontId="1" fillId="0" borderId="0" xfId="0" applyNumberFormat="1" applyFont="1" applyFill="1" applyBorder="1" applyAlignment="1">
      <alignment wrapText="1"/>
    </xf>
    <xf numFmtId="3" fontId="0" fillId="0" borderId="0" xfId="0" applyNumberFormat="1" applyAlignment="1">
      <alignment wrapText="1"/>
    </xf>
    <xf numFmtId="0" fontId="30" fillId="0" borderId="0" xfId="0" applyFont="1"/>
    <xf numFmtId="0" fontId="12" fillId="2" borderId="3" xfId="0" applyFont="1" applyFill="1" applyBorder="1" applyAlignment="1">
      <alignment horizontal="left" wrapText="1"/>
    </xf>
    <xf numFmtId="0" fontId="1" fillId="0" borderId="0" xfId="0" quotePrefix="1" applyFont="1"/>
    <xf numFmtId="0" fontId="31" fillId="0" borderId="0" xfId="0" applyFont="1"/>
    <xf numFmtId="0" fontId="12" fillId="11" borderId="3" xfId="0" quotePrefix="1" applyFont="1" applyFill="1" applyBorder="1" applyAlignment="1">
      <alignment wrapText="1"/>
    </xf>
    <xf numFmtId="0" fontId="12" fillId="11" borderId="3" xfId="0" applyFont="1" applyFill="1" applyBorder="1" applyAlignment="1">
      <alignment wrapText="1"/>
    </xf>
    <xf numFmtId="0" fontId="12" fillId="11" borderId="3" xfId="0" applyFont="1" applyFill="1" applyBorder="1" applyAlignment="1">
      <alignment horizontal="left"/>
    </xf>
    <xf numFmtId="3" fontId="12" fillId="11" borderId="3" xfId="0" applyNumberFormat="1" applyFont="1" applyFill="1" applyBorder="1" applyAlignment="1">
      <alignment wrapText="1"/>
    </xf>
    <xf numFmtId="3" fontId="23" fillId="11" borderId="3" xfId="0" applyNumberFormat="1" applyFont="1" applyFill="1" applyBorder="1"/>
    <xf numFmtId="3" fontId="12" fillId="11" borderId="3" xfId="0" applyNumberFormat="1" applyFont="1" applyFill="1" applyBorder="1"/>
    <xf numFmtId="0" fontId="0" fillId="5" borderId="0" xfId="0" applyFill="1"/>
    <xf numFmtId="0" fontId="17" fillId="5" borderId="3" xfId="0" applyFont="1" applyFill="1" applyBorder="1" applyAlignment="1">
      <alignment wrapText="1"/>
    </xf>
    <xf numFmtId="0" fontId="17" fillId="5" borderId="3" xfId="0" applyFont="1" applyFill="1" applyBorder="1" applyAlignment="1">
      <alignment horizontal="left" wrapText="1"/>
    </xf>
    <xf numFmtId="0" fontId="17" fillId="0" borderId="3" xfId="0" applyFont="1" applyFill="1" applyBorder="1" applyAlignment="1">
      <alignment wrapText="1"/>
    </xf>
    <xf numFmtId="0" fontId="6" fillId="0" borderId="3" xfId="0" applyFont="1" applyFill="1" applyBorder="1" applyAlignment="1">
      <alignment wrapText="1"/>
    </xf>
    <xf numFmtId="0" fontId="17" fillId="0" borderId="3" xfId="0" applyFont="1" applyBorder="1" applyAlignment="1">
      <alignment wrapText="1"/>
    </xf>
    <xf numFmtId="3" fontId="17" fillId="5" borderId="3" xfId="0" applyNumberFormat="1" applyFont="1" applyFill="1" applyBorder="1"/>
    <xf numFmtId="3" fontId="23" fillId="3" borderId="3" xfId="0" applyNumberFormat="1" applyFont="1" applyFill="1" applyBorder="1"/>
    <xf numFmtId="3" fontId="23" fillId="5" borderId="3" xfId="0" applyNumberFormat="1" applyFont="1" applyFill="1" applyBorder="1"/>
    <xf numFmtId="3" fontId="24" fillId="0" borderId="3" xfId="0" applyNumberFormat="1" applyFont="1" applyBorder="1"/>
    <xf numFmtId="3" fontId="17" fillId="0" borderId="3" xfId="0" applyNumberFormat="1" applyFont="1" applyBorder="1" applyAlignment="1">
      <alignment wrapText="1"/>
    </xf>
    <xf numFmtId="3" fontId="17" fillId="15" borderId="3" xfId="0" applyNumberFormat="1" applyFont="1" applyFill="1" applyBorder="1"/>
    <xf numFmtId="0" fontId="17" fillId="0" borderId="3" xfId="0" applyFont="1" applyFill="1" applyBorder="1" applyAlignment="1">
      <alignment horizontal="left" wrapText="1"/>
    </xf>
    <xf numFmtId="3" fontId="17" fillId="16" borderId="3" xfId="0" applyNumberFormat="1" applyFont="1" applyFill="1" applyBorder="1" applyAlignment="1">
      <alignment wrapText="1"/>
    </xf>
    <xf numFmtId="3" fontId="6" fillId="0" borderId="3" xfId="0" applyNumberFormat="1" applyFont="1" applyFill="1" applyBorder="1" applyAlignment="1">
      <alignment wrapText="1"/>
    </xf>
    <xf numFmtId="3" fontId="17" fillId="16" borderId="3" xfId="0" applyNumberFormat="1" applyFont="1" applyFill="1" applyBorder="1"/>
    <xf numFmtId="0" fontId="24" fillId="16" borderId="0" xfId="0" applyFont="1" applyFill="1"/>
    <xf numFmtId="3" fontId="21" fillId="16" borderId="3" xfId="0" applyNumberFormat="1" applyFont="1" applyFill="1" applyBorder="1"/>
    <xf numFmtId="3" fontId="17" fillId="17" borderId="3" xfId="0" applyNumberFormat="1" applyFont="1" applyFill="1" applyBorder="1" applyAlignment="1">
      <alignment wrapText="1"/>
    </xf>
    <xf numFmtId="0" fontId="17" fillId="17" borderId="3" xfId="0" applyNumberFormat="1" applyFont="1" applyFill="1" applyBorder="1" applyAlignment="1">
      <alignment wrapText="1"/>
    </xf>
    <xf numFmtId="3" fontId="17" fillId="17" borderId="3" xfId="0" applyNumberFormat="1" applyFont="1" applyFill="1" applyBorder="1"/>
    <xf numFmtId="0" fontId="17" fillId="16" borderId="3" xfId="0" applyFont="1" applyFill="1" applyBorder="1" applyAlignment="1">
      <alignment wrapText="1"/>
    </xf>
    <xf numFmtId="0" fontId="17" fillId="16" borderId="3" xfId="0" applyFont="1" applyFill="1" applyBorder="1" applyAlignment="1">
      <alignment horizontal="left" wrapText="1"/>
    </xf>
    <xf numFmtId="0" fontId="17" fillId="0" borderId="3" xfId="0" applyFont="1" applyFill="1" applyBorder="1" applyAlignment="1">
      <alignment horizontal="left"/>
    </xf>
    <xf numFmtId="3" fontId="24" fillId="0" borderId="3" xfId="0" applyNumberFormat="1" applyFont="1" applyFill="1" applyBorder="1"/>
    <xf numFmtId="3" fontId="17" fillId="18" borderId="3" xfId="0" applyNumberFormat="1" applyFont="1" applyFill="1" applyBorder="1"/>
    <xf numFmtId="0" fontId="17" fillId="0" borderId="3" xfId="0" applyFont="1" applyFill="1" applyBorder="1"/>
    <xf numFmtId="0" fontId="6" fillId="5" borderId="3" xfId="0" applyFont="1" applyFill="1" applyBorder="1" applyAlignment="1">
      <alignment wrapText="1"/>
    </xf>
    <xf numFmtId="0" fontId="17" fillId="16" borderId="3" xfId="0" quotePrefix="1" applyFont="1" applyFill="1" applyBorder="1" applyAlignment="1">
      <alignment wrapText="1"/>
    </xf>
    <xf numFmtId="0" fontId="17" fillId="0" borderId="3" xfId="0" applyNumberFormat="1" applyFont="1" applyFill="1" applyBorder="1" applyAlignment="1">
      <alignment horizontal="left" wrapText="1"/>
    </xf>
    <xf numFmtId="0" fontId="33" fillId="0" borderId="0" xfId="0" applyFont="1"/>
    <xf numFmtId="0" fontId="34" fillId="0" borderId="0" xfId="0" applyFont="1"/>
    <xf numFmtId="3" fontId="12" fillId="0" borderId="0" xfId="0" applyNumberFormat="1" applyFont="1"/>
    <xf numFmtId="0" fontId="23" fillId="0" borderId="3" xfId="0" quotePrefix="1" applyFont="1" applyFill="1" applyBorder="1"/>
    <xf numFmtId="0" fontId="23" fillId="0" borderId="3" xfId="0" applyFont="1" applyFill="1" applyBorder="1"/>
    <xf numFmtId="0" fontId="12" fillId="0" borderId="3" xfId="0" applyFont="1" applyFill="1" applyBorder="1" applyAlignment="1">
      <alignment horizontal="left"/>
    </xf>
    <xf numFmtId="0" fontId="12" fillId="0" borderId="3" xfId="0" applyFont="1" applyFill="1" applyBorder="1" applyAlignment="1">
      <alignment wrapText="1"/>
    </xf>
    <xf numFmtId="3" fontId="12" fillId="0" borderId="3" xfId="0" applyNumberFormat="1" applyFont="1" applyFill="1" applyBorder="1" applyAlignment="1">
      <alignment wrapText="1"/>
    </xf>
    <xf numFmtId="0" fontId="12" fillId="19" borderId="3" xfId="0" quotePrefix="1" applyFont="1" applyFill="1" applyBorder="1"/>
    <xf numFmtId="0" fontId="12" fillId="19" borderId="3" xfId="0" applyFont="1" applyFill="1" applyBorder="1"/>
    <xf numFmtId="0" fontId="12" fillId="19" borderId="3" xfId="0" applyFont="1" applyFill="1" applyBorder="1" applyAlignment="1">
      <alignment horizontal="left"/>
    </xf>
    <xf numFmtId="0" fontId="12" fillId="19" borderId="3" xfId="0" applyFont="1" applyFill="1" applyBorder="1" applyAlignment="1">
      <alignment wrapText="1"/>
    </xf>
    <xf numFmtId="3" fontId="12" fillId="19" borderId="3" xfId="0" applyNumberFormat="1" applyFont="1" applyFill="1" applyBorder="1" applyAlignment="1">
      <alignment wrapText="1"/>
    </xf>
    <xf numFmtId="3" fontId="35" fillId="19" borderId="3" xfId="0" applyNumberFormat="1" applyFont="1" applyFill="1" applyBorder="1"/>
    <xf numFmtId="3" fontId="12" fillId="19" borderId="3" xfId="0" applyNumberFormat="1" applyFont="1" applyFill="1" applyBorder="1"/>
    <xf numFmtId="0" fontId="31" fillId="0" borderId="0" xfId="0" applyFont="1" applyFill="1"/>
    <xf numFmtId="0" fontId="24" fillId="0" borderId="0" xfId="0" applyFont="1" applyFill="1"/>
    <xf numFmtId="0" fontId="12" fillId="0" borderId="0" xfId="0" applyFont="1" applyFill="1" applyAlignment="1">
      <alignment horizontal="center" vertical="center"/>
    </xf>
    <xf numFmtId="0" fontId="12" fillId="19" borderId="3" xfId="0" quotePrefix="1" applyFont="1" applyFill="1" applyBorder="1" applyAlignment="1">
      <alignment wrapText="1"/>
    </xf>
    <xf numFmtId="0" fontId="23" fillId="0" borderId="3" xfId="0" quotePrefix="1" applyFont="1" applyBorder="1"/>
    <xf numFmtId="0" fontId="23" fillId="0" borderId="3" xfId="0" applyFont="1" applyBorder="1"/>
    <xf numFmtId="0" fontId="12" fillId="0" borderId="3" xfId="0" applyFont="1" applyBorder="1" applyAlignment="1">
      <alignment horizontal="left"/>
    </xf>
    <xf numFmtId="0" fontId="12" fillId="0" borderId="3" xfId="0" applyFont="1" applyBorder="1" applyAlignment="1">
      <alignment wrapText="1"/>
    </xf>
    <xf numFmtId="3" fontId="12" fillId="0" borderId="3" xfId="0" applyNumberFormat="1" applyFont="1" applyBorder="1" applyAlignment="1">
      <alignment wrapText="1"/>
    </xf>
    <xf numFmtId="3" fontId="35" fillId="0" borderId="3" xfId="0" applyNumberFormat="1" applyFont="1" applyBorder="1"/>
    <xf numFmtId="3" fontId="36" fillId="0" borderId="3" xfId="0" applyNumberFormat="1" applyFont="1" applyBorder="1"/>
    <xf numFmtId="3" fontId="23" fillId="0" borderId="3" xfId="0" applyNumberFormat="1" applyFont="1" applyBorder="1"/>
    <xf numFmtId="0" fontId="12" fillId="12" borderId="3" xfId="0" quotePrefix="1" applyFont="1" applyFill="1" applyBorder="1"/>
    <xf numFmtId="0" fontId="12" fillId="12" borderId="3" xfId="0" applyFont="1" applyFill="1" applyBorder="1"/>
    <xf numFmtId="0" fontId="12" fillId="12" borderId="3" xfId="0" applyFont="1" applyFill="1" applyBorder="1" applyAlignment="1">
      <alignment horizontal="left"/>
    </xf>
    <xf numFmtId="3" fontId="12" fillId="12" borderId="3" xfId="0" applyNumberFormat="1" applyFont="1" applyFill="1" applyBorder="1" applyAlignment="1">
      <alignment wrapText="1"/>
    </xf>
    <xf numFmtId="0" fontId="17" fillId="0" borderId="3" xfId="0" applyFont="1" applyBorder="1" applyAlignment="1">
      <alignment horizontal="left"/>
    </xf>
    <xf numFmtId="0" fontId="17" fillId="14" borderId="3" xfId="0" applyFont="1" applyFill="1" applyBorder="1" applyAlignment="1">
      <alignment wrapText="1"/>
    </xf>
    <xf numFmtId="0" fontId="17" fillId="14" borderId="3" xfId="0" applyFont="1" applyFill="1" applyBorder="1" applyAlignment="1">
      <alignment horizontal="left"/>
    </xf>
    <xf numFmtId="0" fontId="17" fillId="0" borderId="3" xfId="0" quotePrefix="1" applyFont="1" applyFill="1" applyBorder="1" applyAlignment="1">
      <alignment wrapText="1"/>
    </xf>
    <xf numFmtId="0" fontId="12" fillId="12" borderId="3" xfId="0" quotePrefix="1" applyFont="1" applyFill="1" applyBorder="1" applyAlignment="1">
      <alignment wrapText="1"/>
    </xf>
    <xf numFmtId="3" fontId="35" fillId="0" borderId="3" xfId="0" applyNumberFormat="1" applyFont="1" applyFill="1" applyBorder="1"/>
    <xf numFmtId="3" fontId="36" fillId="0" borderId="3" xfId="0" applyNumberFormat="1" applyFont="1" applyFill="1" applyBorder="1"/>
    <xf numFmtId="0" fontId="12" fillId="20" borderId="3" xfId="0" quotePrefix="1" applyFont="1" applyFill="1" applyBorder="1"/>
    <xf numFmtId="0" fontId="12" fillId="20" borderId="3" xfId="0" applyFont="1" applyFill="1" applyBorder="1"/>
    <xf numFmtId="0" fontId="12" fillId="20" borderId="3" xfId="0" applyFont="1" applyFill="1" applyBorder="1" applyAlignment="1">
      <alignment horizontal="left"/>
    </xf>
    <xf numFmtId="0" fontId="12" fillId="20" borderId="3" xfId="0" applyFont="1" applyFill="1" applyBorder="1" applyAlignment="1">
      <alignment wrapText="1"/>
    </xf>
    <xf numFmtId="3" fontId="12" fillId="20" borderId="3" xfId="0" applyNumberFormat="1" applyFont="1" applyFill="1" applyBorder="1" applyAlignment="1">
      <alignment wrapText="1"/>
    </xf>
    <xf numFmtId="3" fontId="35" fillId="20" borderId="3" xfId="0" applyNumberFormat="1" applyFont="1" applyFill="1" applyBorder="1"/>
    <xf numFmtId="3" fontId="12" fillId="20" borderId="3" xfId="0" applyNumberFormat="1" applyFont="1" applyFill="1" applyBorder="1"/>
    <xf numFmtId="0" fontId="17" fillId="21" borderId="3" xfId="0" applyFont="1" applyFill="1" applyBorder="1"/>
    <xf numFmtId="0" fontId="17" fillId="21" borderId="3" xfId="0" applyFont="1" applyFill="1" applyBorder="1" applyAlignment="1">
      <alignment wrapText="1"/>
    </xf>
    <xf numFmtId="0" fontId="17" fillId="21" borderId="3" xfId="0" applyFont="1" applyFill="1" applyBorder="1" applyAlignment="1">
      <alignment horizontal="left"/>
    </xf>
    <xf numFmtId="16" fontId="17" fillId="21" borderId="3" xfId="0" quotePrefix="1" applyNumberFormat="1" applyFont="1" applyFill="1" applyBorder="1" applyAlignment="1">
      <alignment horizontal="right" wrapText="1"/>
    </xf>
    <xf numFmtId="3" fontId="17" fillId="21" borderId="3" xfId="0" applyNumberFormat="1" applyFont="1" applyFill="1" applyBorder="1" applyAlignment="1">
      <alignment wrapText="1"/>
    </xf>
    <xf numFmtId="3" fontId="24" fillId="21" borderId="3" xfId="0" applyNumberFormat="1" applyFont="1" applyFill="1" applyBorder="1"/>
    <xf numFmtId="0" fontId="17" fillId="16" borderId="3" xfId="0" applyFont="1" applyFill="1" applyBorder="1"/>
    <xf numFmtId="0" fontId="17" fillId="16" borderId="3" xfId="0" applyFont="1" applyFill="1" applyBorder="1" applyAlignment="1">
      <alignment horizontal="left"/>
    </xf>
    <xf numFmtId="0" fontId="17" fillId="16" borderId="0" xfId="0" applyFont="1" applyFill="1"/>
    <xf numFmtId="0" fontId="17" fillId="0" borderId="3" xfId="0" applyFont="1" applyFill="1" applyBorder="1" applyAlignment="1">
      <alignment horizontal="right" wrapText="1"/>
    </xf>
    <xf numFmtId="3" fontId="37" fillId="0" borderId="3" xfId="0" applyNumberFormat="1" applyFont="1" applyBorder="1"/>
    <xf numFmtId="0" fontId="24" fillId="0" borderId="3" xfId="0" quotePrefix="1" applyFont="1" applyBorder="1"/>
    <xf numFmtId="0" fontId="24" fillId="0" borderId="3" xfId="0" applyFont="1" applyBorder="1"/>
    <xf numFmtId="0" fontId="12" fillId="14" borderId="3" xfId="0" quotePrefix="1" applyFont="1" applyFill="1" applyBorder="1" applyAlignment="1">
      <alignment wrapText="1"/>
    </xf>
    <xf numFmtId="0" fontId="12" fillId="14" borderId="3" xfId="0" applyFont="1" applyFill="1" applyBorder="1" applyAlignment="1">
      <alignment wrapText="1"/>
    </xf>
    <xf numFmtId="0" fontId="12" fillId="14" borderId="3" xfId="0" applyFont="1" applyFill="1" applyBorder="1" applyAlignment="1">
      <alignment horizontal="left"/>
    </xf>
    <xf numFmtId="0" fontId="4" fillId="0" borderId="0" xfId="0" applyFont="1" applyFill="1"/>
    <xf numFmtId="0" fontId="12" fillId="0" borderId="0" xfId="0" applyFont="1" applyFill="1"/>
    <xf numFmtId="0" fontId="17" fillId="0" borderId="3" xfId="0" applyFont="1" applyBorder="1" applyAlignment="1">
      <alignment horizontal="left" wrapText="1"/>
    </xf>
    <xf numFmtId="3" fontId="17" fillId="11" borderId="3" xfId="0" applyNumberFormat="1" applyFont="1" applyFill="1" applyBorder="1"/>
    <xf numFmtId="0" fontId="12" fillId="16" borderId="0" xfId="0" applyFont="1" applyFill="1"/>
    <xf numFmtId="0" fontId="17" fillId="0" borderId="3" xfId="0" quotePrefix="1" applyFont="1" applyFill="1" applyBorder="1"/>
    <xf numFmtId="3" fontId="4" fillId="0" borderId="0" xfId="0" applyNumberFormat="1" applyFont="1" applyFill="1"/>
    <xf numFmtId="3" fontId="37" fillId="0" borderId="3" xfId="0" applyNumberFormat="1" applyFont="1" applyFill="1" applyBorder="1"/>
    <xf numFmtId="0" fontId="2" fillId="0" borderId="0" xfId="0" applyFont="1" applyAlignment="1">
      <alignment horizontal="center" vertical="center"/>
    </xf>
    <xf numFmtId="0" fontId="38" fillId="22" borderId="3" xfId="0" applyFont="1" applyFill="1" applyBorder="1"/>
    <xf numFmtId="0" fontId="2" fillId="22" borderId="3" xfId="0" applyFont="1" applyFill="1" applyBorder="1" applyAlignment="1">
      <alignment horizontal="left"/>
    </xf>
    <xf numFmtId="0" fontId="18" fillId="22" borderId="3" xfId="0" applyFont="1" applyFill="1" applyBorder="1" applyAlignment="1">
      <alignment wrapText="1"/>
    </xf>
    <xf numFmtId="0" fontId="2" fillId="22" borderId="3" xfId="0" applyFont="1" applyFill="1" applyBorder="1" applyAlignment="1">
      <alignment wrapText="1"/>
    </xf>
    <xf numFmtId="3" fontId="2" fillId="22" borderId="3" xfId="0" applyNumberFormat="1" applyFont="1" applyFill="1" applyBorder="1"/>
    <xf numFmtId="3" fontId="38" fillId="22" borderId="3" xfId="0" applyNumberFormat="1" applyFont="1" applyFill="1" applyBorder="1"/>
    <xf numFmtId="3" fontId="1" fillId="0" borderId="7" xfId="0" applyNumberFormat="1" applyFont="1" applyFill="1" applyBorder="1"/>
    <xf numFmtId="3" fontId="1" fillId="0" borderId="0" xfId="0" applyNumberFormat="1" applyFont="1" applyFill="1" applyBorder="1"/>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wrapText="1"/>
    </xf>
    <xf numFmtId="3" fontId="7" fillId="0" borderId="0" xfId="0" applyNumberFormat="1" applyFont="1" applyAlignment="1">
      <alignment wrapText="1"/>
    </xf>
    <xf numFmtId="3" fontId="7" fillId="0" borderId="0" xfId="0" applyNumberFormat="1" applyFont="1"/>
    <xf numFmtId="3" fontId="39" fillId="0" borderId="0" xfId="0" applyNumberFormat="1" applyFont="1"/>
    <xf numFmtId="3" fontId="10" fillId="0" borderId="0" xfId="0" applyNumberFormat="1" applyFont="1"/>
    <xf numFmtId="3" fontId="4" fillId="0" borderId="0" xfId="0" applyNumberFormat="1" applyFont="1" applyFill="1" applyBorder="1"/>
    <xf numFmtId="0" fontId="12" fillId="23" borderId="3" xfId="0" applyFont="1" applyFill="1" applyBorder="1" applyAlignment="1">
      <alignment wrapText="1"/>
    </xf>
    <xf numFmtId="0" fontId="12" fillId="23" borderId="3" xfId="0" applyFont="1" applyFill="1" applyBorder="1" applyAlignment="1">
      <alignment horizontal="left"/>
    </xf>
    <xf numFmtId="0" fontId="17" fillId="23" borderId="3" xfId="0" applyFont="1" applyFill="1" applyBorder="1" applyAlignment="1">
      <alignment wrapText="1"/>
    </xf>
    <xf numFmtId="3" fontId="12" fillId="23" borderId="3" xfId="0" applyNumberFormat="1" applyFont="1" applyFill="1" applyBorder="1"/>
    <xf numFmtId="3" fontId="31" fillId="0" borderId="0" xfId="0" applyNumberFormat="1" applyFont="1" applyFill="1" applyBorder="1"/>
    <xf numFmtId="3" fontId="23" fillId="0" borderId="0" xfId="0" applyNumberFormat="1" applyFont="1"/>
    <xf numFmtId="0" fontId="40" fillId="0" borderId="0" xfId="0" applyFont="1" applyAlignment="1">
      <alignment horizontal="center" vertical="center"/>
    </xf>
    <xf numFmtId="0" fontId="41" fillId="0" borderId="0" xfId="0" applyFont="1"/>
    <xf numFmtId="0" fontId="42" fillId="0" borderId="0" xfId="0" applyFont="1" applyAlignment="1">
      <alignment horizontal="left"/>
    </xf>
    <xf numFmtId="0" fontId="42" fillId="0" borderId="0" xfId="0" applyFont="1" applyAlignment="1">
      <alignment wrapText="1"/>
    </xf>
    <xf numFmtId="0" fontId="42" fillId="0" borderId="0" xfId="0" applyFont="1"/>
    <xf numFmtId="0" fontId="18" fillId="0" borderId="0" xfId="0" applyFont="1"/>
    <xf numFmtId="0" fontId="18" fillId="0" borderId="0" xfId="0" applyFont="1" applyAlignment="1">
      <alignment horizontal="left"/>
    </xf>
    <xf numFmtId="0" fontId="18" fillId="0" borderId="0" xfId="0" applyFont="1" applyAlignment="1">
      <alignment wrapText="1"/>
    </xf>
    <xf numFmtId="0" fontId="18" fillId="0" borderId="3" xfId="0" applyFont="1" applyBorder="1" applyAlignment="1">
      <alignment wrapText="1"/>
    </xf>
    <xf numFmtId="3" fontId="18" fillId="0" borderId="3" xfId="0" applyNumberFormat="1" applyFont="1" applyBorder="1" applyAlignment="1">
      <alignment wrapText="1"/>
    </xf>
    <xf numFmtId="0" fontId="43" fillId="0" borderId="0" xfId="0" applyFont="1"/>
    <xf numFmtId="3" fontId="18" fillId="0" borderId="0" xfId="0" applyNumberFormat="1" applyFont="1" applyAlignment="1">
      <alignment wrapText="1"/>
    </xf>
    <xf numFmtId="0" fontId="38" fillId="0" borderId="0" xfId="0" applyFont="1"/>
    <xf numFmtId="0" fontId="2" fillId="0" borderId="0" xfId="0" applyFont="1" applyAlignment="1">
      <alignment horizontal="left"/>
    </xf>
    <xf numFmtId="0" fontId="2" fillId="0" borderId="0" xfId="0" applyFont="1" applyAlignment="1">
      <alignment wrapText="1"/>
    </xf>
    <xf numFmtId="0" fontId="2" fillId="0" borderId="3" xfId="0" applyFont="1" applyBorder="1" applyAlignment="1">
      <alignment wrapText="1"/>
    </xf>
    <xf numFmtId="3" fontId="2" fillId="0" borderId="3" xfId="0" applyNumberFormat="1" applyFont="1" applyBorder="1" applyAlignment="1">
      <alignment wrapText="1"/>
    </xf>
    <xf numFmtId="3" fontId="2" fillId="0" borderId="0" xfId="0" applyNumberFormat="1" applyFont="1" applyAlignment="1">
      <alignment wrapText="1"/>
    </xf>
    <xf numFmtId="3" fontId="18" fillId="0" borderId="0" xfId="0" applyNumberFormat="1" applyFont="1" applyAlignment="1">
      <alignment horizontal="right"/>
    </xf>
    <xf numFmtId="3" fontId="2" fillId="0" borderId="0" xfId="0" applyNumberFormat="1" applyFont="1"/>
    <xf numFmtId="3" fontId="18" fillId="0" borderId="0" xfId="0" applyNumberFormat="1" applyFont="1"/>
    <xf numFmtId="3" fontId="43" fillId="0" borderId="0" xfId="0" applyNumberFormat="1" applyFont="1"/>
    <xf numFmtId="0" fontId="5" fillId="0" borderId="3" xfId="0" applyFont="1" applyBorder="1" applyAlignment="1">
      <alignment wrapText="1"/>
    </xf>
    <xf numFmtId="0" fontId="5" fillId="0" borderId="3" xfId="0" applyFont="1" applyBorder="1"/>
    <xf numFmtId="3" fontId="5" fillId="0" borderId="3" xfId="0" applyNumberFormat="1" applyFont="1" applyBorder="1"/>
    <xf numFmtId="0" fontId="51" fillId="9" borderId="3" xfId="0" applyFont="1" applyFill="1" applyBorder="1" applyAlignment="1">
      <alignment wrapText="1"/>
    </xf>
    <xf numFmtId="3" fontId="3" fillId="9" borderId="3" xfId="0" applyNumberFormat="1" applyFont="1" applyFill="1" applyBorder="1"/>
    <xf numFmtId="0" fontId="52" fillId="0" borderId="0" xfId="0" applyFont="1"/>
    <xf numFmtId="3" fontId="52" fillId="0" borderId="0" xfId="0" applyNumberFormat="1" applyFont="1"/>
    <xf numFmtId="0" fontId="51" fillId="0" borderId="0" xfId="0" applyFont="1" applyAlignment="1">
      <alignment wrapText="1"/>
    </xf>
    <xf numFmtId="0" fontId="3" fillId="0" borderId="0" xfId="0" applyFont="1"/>
    <xf numFmtId="3" fontId="5" fillId="0" borderId="0" xfId="0" applyNumberFormat="1" applyFont="1"/>
    <xf numFmtId="3" fontId="5" fillId="0" borderId="3" xfId="0" applyNumberFormat="1" applyFont="1" applyBorder="1" applyAlignment="1">
      <alignment wrapText="1"/>
    </xf>
    <xf numFmtId="3" fontId="3" fillId="0" borderId="3" xfId="0" applyNumberFormat="1" applyFont="1" applyBorder="1" applyAlignment="1">
      <alignment wrapText="1"/>
    </xf>
    <xf numFmtId="3" fontId="3" fillId="0" borderId="3" xfId="0" applyNumberFormat="1" applyFont="1" applyBorder="1"/>
    <xf numFmtId="3" fontId="5" fillId="0" borderId="0" xfId="0" applyNumberFormat="1" applyFont="1" applyBorder="1" applyAlignment="1">
      <alignment wrapText="1"/>
    </xf>
    <xf numFmtId="3" fontId="5" fillId="0" borderId="0" xfId="0" applyNumberFormat="1" applyFont="1" applyBorder="1"/>
    <xf numFmtId="0" fontId="3" fillId="0" borderId="3" xfId="0" applyFont="1" applyBorder="1"/>
    <xf numFmtId="3" fontId="5" fillId="0" borderId="3" xfId="0" applyNumberFormat="1" applyFont="1" applyFill="1" applyBorder="1" applyAlignment="1">
      <alignment wrapText="1"/>
    </xf>
    <xf numFmtId="3" fontId="54" fillId="25" borderId="0" xfId="0" applyNumberFormat="1" applyFont="1" applyFill="1" applyBorder="1" applyAlignment="1">
      <alignment horizontal="right" vertical="center" wrapText="1"/>
    </xf>
    <xf numFmtId="3" fontId="54" fillId="25" borderId="0" xfId="0" applyNumberFormat="1" applyFont="1" applyFill="1" applyBorder="1" applyAlignment="1">
      <alignment horizontal="right" vertical="center"/>
    </xf>
    <xf numFmtId="3" fontId="55" fillId="25" borderId="6" xfId="0" applyNumberFormat="1" applyFont="1" applyFill="1" applyBorder="1" applyAlignment="1">
      <alignment horizontal="right" vertical="center"/>
    </xf>
    <xf numFmtId="3" fontId="4" fillId="0" borderId="6" xfId="0" applyNumberFormat="1" applyFont="1" applyBorder="1"/>
    <xf numFmtId="3" fontId="56" fillId="21" borderId="0" xfId="0" applyNumberFormat="1" applyFont="1" applyFill="1" applyBorder="1" applyAlignment="1">
      <alignment horizontal="right" vertical="center" wrapText="1"/>
    </xf>
    <xf numFmtId="3" fontId="56" fillId="21" borderId="6" xfId="0" applyNumberFormat="1" applyFont="1" applyFill="1" applyBorder="1" applyAlignment="1">
      <alignment horizontal="right" vertical="center" wrapText="1"/>
    </xf>
    <xf numFmtId="0" fontId="53" fillId="24" borderId="1" xfId="0" applyFont="1" applyFill="1" applyBorder="1" applyAlignment="1">
      <alignment vertical="center"/>
    </xf>
    <xf numFmtId="0" fontId="53" fillId="24" borderId="6" xfId="0" applyFont="1" applyFill="1" applyBorder="1" applyAlignment="1">
      <alignment horizontal="center" vertical="center" wrapText="1"/>
    </xf>
    <xf numFmtId="0" fontId="53" fillId="24" borderId="2" xfId="0" applyFont="1" applyFill="1" applyBorder="1" applyAlignment="1">
      <alignment horizontal="center" vertical="center" wrapText="1"/>
    </xf>
    <xf numFmtId="0" fontId="0" fillId="0" borderId="9" xfId="0" applyBorder="1"/>
    <xf numFmtId="3" fontId="0" fillId="0" borderId="0" xfId="0" applyNumberFormat="1" applyBorder="1"/>
    <xf numFmtId="3" fontId="0" fillId="0" borderId="0" xfId="0" applyNumberFormat="1" applyFill="1" applyBorder="1"/>
    <xf numFmtId="3" fontId="0" fillId="0" borderId="8" xfId="0" applyNumberFormat="1" applyBorder="1"/>
    <xf numFmtId="0" fontId="0" fillId="0" borderId="9" xfId="0" applyFont="1" applyBorder="1"/>
    <xf numFmtId="0" fontId="4" fillId="0" borderId="1" xfId="0" applyFont="1" applyBorder="1"/>
    <xf numFmtId="3" fontId="4" fillId="0" borderId="2" xfId="0" applyNumberFormat="1" applyFont="1" applyBorder="1"/>
    <xf numFmtId="3" fontId="54" fillId="25" borderId="5" xfId="0" applyNumberFormat="1" applyFont="1" applyFill="1" applyBorder="1" applyAlignment="1">
      <alignment horizontal="right" vertical="center"/>
    </xf>
    <xf numFmtId="0" fontId="12" fillId="2" borderId="1" xfId="0" applyFont="1" applyFill="1" applyBorder="1" applyAlignment="1">
      <alignment wrapText="1"/>
    </xf>
    <xf numFmtId="0" fontId="18" fillId="0" borderId="3" xfId="0" applyFont="1" applyBorder="1" applyAlignment="1">
      <alignment wrapText="1"/>
    </xf>
    <xf numFmtId="0" fontId="18" fillId="0" borderId="1" xfId="0" applyFont="1" applyBorder="1" applyAlignment="1">
      <alignment wrapText="1"/>
    </xf>
    <xf numFmtId="0" fontId="12" fillId="2" borderId="1" xfId="0" applyFont="1" applyFill="1" applyBorder="1" applyAlignment="1">
      <alignment wrapText="1"/>
    </xf>
    <xf numFmtId="0" fontId="17" fillId="0" borderId="3" xfId="0" applyNumberFormat="1" applyFont="1" applyFill="1" applyBorder="1" applyAlignment="1">
      <alignment wrapText="1"/>
    </xf>
    <xf numFmtId="0" fontId="8" fillId="0" borderId="0" xfId="0" applyFont="1" applyAlignment="1">
      <alignment horizontal="center" vertical="center"/>
    </xf>
    <xf numFmtId="0" fontId="9" fillId="0" borderId="0" xfId="0" applyFont="1"/>
    <xf numFmtId="0" fontId="8" fillId="2" borderId="4" xfId="0" applyFont="1" applyFill="1" applyBorder="1" applyAlignment="1">
      <alignment wrapText="1"/>
    </xf>
    <xf numFmtId="0" fontId="8" fillId="12" borderId="4" xfId="0" applyFont="1" applyFill="1" applyBorder="1" applyAlignment="1">
      <alignment wrapText="1"/>
    </xf>
    <xf numFmtId="0" fontId="28" fillId="0" borderId="0" xfId="0" applyFont="1" applyAlignment="1">
      <alignment horizontal="left"/>
    </xf>
    <xf numFmtId="3" fontId="28" fillId="0" borderId="0" xfId="0" applyNumberFormat="1" applyFont="1" applyAlignment="1">
      <alignment wrapText="1"/>
    </xf>
    <xf numFmtId="0" fontId="28" fillId="0" borderId="0" xfId="0" applyFont="1" applyAlignment="1">
      <alignment wrapText="1"/>
    </xf>
    <xf numFmtId="3" fontId="25" fillId="0" borderId="0" xfId="0" applyNumberFormat="1" applyFont="1"/>
    <xf numFmtId="0" fontId="57" fillId="0" borderId="0" xfId="0" applyFont="1"/>
    <xf numFmtId="0" fontId="60" fillId="0" borderId="0" xfId="0" applyFont="1" applyAlignment="1">
      <alignment horizontal="center" vertical="center"/>
    </xf>
    <xf numFmtId="0" fontId="61" fillId="0" borderId="0" xfId="0" applyFont="1" applyAlignment="1">
      <alignment horizontal="center" vertical="center"/>
    </xf>
    <xf numFmtId="0" fontId="60" fillId="0" borderId="0" xfId="0" applyFont="1" applyFill="1" applyAlignment="1">
      <alignment horizontal="center" vertical="center"/>
    </xf>
    <xf numFmtId="0" fontId="62" fillId="0" borderId="0" xfId="0" applyFont="1" applyAlignment="1">
      <alignment horizontal="center" vertical="center"/>
    </xf>
    <xf numFmtId="0" fontId="63" fillId="0" borderId="0" xfId="0" applyFont="1" applyAlignment="1">
      <alignment horizontal="center" vertical="center"/>
    </xf>
    <xf numFmtId="0" fontId="8" fillId="0" borderId="0" xfId="0" applyFont="1" applyFill="1" applyAlignment="1">
      <alignment horizontal="center" vertical="center"/>
    </xf>
    <xf numFmtId="0" fontId="12" fillId="0" borderId="3" xfId="0" applyFont="1" applyFill="1" applyBorder="1" applyAlignment="1">
      <alignment horizontal="left" wrapText="1"/>
    </xf>
    <xf numFmtId="0" fontId="8" fillId="0" borderId="4" xfId="0" applyFont="1" applyFill="1" applyBorder="1" applyAlignment="1">
      <alignment wrapText="1"/>
    </xf>
    <xf numFmtId="0" fontId="8" fillId="0" borderId="0" xfId="0" applyFont="1" applyFill="1" applyBorder="1" applyAlignment="1">
      <alignment wrapText="1"/>
    </xf>
    <xf numFmtId="0" fontId="9" fillId="0" borderId="0" xfId="0" applyFont="1" applyFill="1"/>
    <xf numFmtId="0" fontId="66" fillId="0" borderId="0" xfId="0" applyFont="1"/>
    <xf numFmtId="3" fontId="66" fillId="0" borderId="0" xfId="0" applyNumberFormat="1" applyFont="1"/>
    <xf numFmtId="3" fontId="3" fillId="0" borderId="5" xfId="0" applyNumberFormat="1" applyFont="1" applyBorder="1" applyAlignment="1">
      <alignment wrapText="1"/>
    </xf>
    <xf numFmtId="0" fontId="5" fillId="0" borderId="5" xfId="0" applyFont="1" applyBorder="1" applyAlignment="1"/>
    <xf numFmtId="0" fontId="6" fillId="0" borderId="1" xfId="0" applyFont="1" applyBorder="1" applyAlignment="1">
      <alignment wrapText="1"/>
    </xf>
    <xf numFmtId="0" fontId="6" fillId="0" borderId="2" xfId="0" applyFont="1" applyBorder="1" applyAlignment="1">
      <alignment wrapText="1"/>
    </xf>
    <xf numFmtId="0" fontId="3" fillId="5" borderId="1" xfId="0" applyFont="1" applyFill="1" applyBorder="1" applyAlignment="1">
      <alignment wrapText="1"/>
    </xf>
    <xf numFmtId="0" fontId="5" fillId="5" borderId="2" xfId="0" applyFont="1" applyFill="1" applyBorder="1" applyAlignment="1">
      <alignment wrapText="1"/>
    </xf>
    <xf numFmtId="0" fontId="3" fillId="0" borderId="0" xfId="0" applyFont="1" applyAlignment="1">
      <alignment wrapText="1"/>
    </xf>
    <xf numFmtId="0" fontId="4" fillId="0" borderId="0" xfId="0" applyFont="1" applyAlignment="1"/>
    <xf numFmtId="0" fontId="3" fillId="2" borderId="1" xfId="0" applyFont="1" applyFill="1" applyBorder="1" applyAlignment="1">
      <alignment wrapText="1"/>
    </xf>
    <xf numFmtId="0" fontId="5" fillId="0" borderId="2" xfId="0" applyFont="1" applyBorder="1" applyAlignment="1">
      <alignment wrapText="1"/>
    </xf>
    <xf numFmtId="0" fontId="5" fillId="0" borderId="0" xfId="0" applyFont="1" applyAlignment="1">
      <alignment wrapText="1"/>
    </xf>
    <xf numFmtId="0" fontId="0" fillId="0" borderId="0" xfId="0" applyAlignment="1"/>
    <xf numFmtId="0" fontId="17" fillId="0" borderId="1" xfId="0" applyFont="1" applyFill="1" applyBorder="1" applyAlignment="1">
      <alignment wrapText="1"/>
    </xf>
    <xf numFmtId="0" fontId="0" fillId="0" borderId="2" xfId="0" applyBorder="1" applyAlignment="1">
      <alignment wrapText="1"/>
    </xf>
    <xf numFmtId="0" fontId="18" fillId="0" borderId="3" xfId="0" applyFont="1" applyBorder="1" applyAlignment="1">
      <alignment wrapText="1"/>
    </xf>
    <xf numFmtId="0" fontId="21" fillId="0" borderId="1" xfId="0" applyFont="1" applyFill="1" applyBorder="1" applyAlignment="1">
      <alignment wrapText="1"/>
    </xf>
    <xf numFmtId="0" fontId="20" fillId="0" borderId="2" xfId="0" applyFont="1" applyBorder="1" applyAlignment="1">
      <alignment wrapText="1"/>
    </xf>
    <xf numFmtId="0" fontId="12" fillId="12" borderId="1" xfId="0" applyFont="1" applyFill="1" applyBorder="1" applyAlignment="1">
      <alignment wrapText="1"/>
    </xf>
    <xf numFmtId="0" fontId="4" fillId="12" borderId="2" xfId="0" applyFont="1" applyFill="1" applyBorder="1" applyAlignment="1">
      <alignment wrapText="1"/>
    </xf>
    <xf numFmtId="0" fontId="29" fillId="0" borderId="3" xfId="0" applyFont="1" applyBorder="1" applyAlignment="1">
      <alignment wrapText="1"/>
    </xf>
    <xf numFmtId="0" fontId="18" fillId="0" borderId="1" xfId="0" applyFont="1" applyBorder="1" applyAlignment="1">
      <alignment wrapText="1"/>
    </xf>
    <xf numFmtId="0" fontId="18" fillId="0" borderId="2" xfId="0" applyFont="1" applyBorder="1" applyAlignment="1">
      <alignment wrapText="1"/>
    </xf>
    <xf numFmtId="0" fontId="2" fillId="14" borderId="1" xfId="0" applyFont="1" applyFill="1" applyBorder="1" applyAlignment="1">
      <alignment wrapText="1"/>
    </xf>
    <xf numFmtId="0" fontId="2" fillId="14" borderId="3" xfId="0" applyFont="1" applyFill="1" applyBorder="1" applyAlignment="1">
      <alignment wrapText="1"/>
    </xf>
    <xf numFmtId="0" fontId="17" fillId="0" borderId="1" xfId="0" applyFont="1" applyBorder="1" applyAlignment="1">
      <alignment wrapText="1"/>
    </xf>
    <xf numFmtId="0" fontId="17" fillId="0" borderId="2" xfId="0" applyFont="1" applyBorder="1" applyAlignment="1">
      <alignment wrapText="1"/>
    </xf>
    <xf numFmtId="0" fontId="14" fillId="11" borderId="0" xfId="0" applyFont="1" applyFill="1" applyAlignment="1">
      <alignment horizontal="left" vertical="center" wrapText="1"/>
    </xf>
    <xf numFmtId="0" fontId="15" fillId="0" borderId="0" xfId="0" applyFont="1" applyAlignment="1">
      <alignment horizontal="left" vertical="center" wrapText="1"/>
    </xf>
    <xf numFmtId="0" fontId="12" fillId="2" borderId="1" xfId="0" applyFont="1" applyFill="1" applyBorder="1" applyAlignment="1">
      <alignment wrapText="1"/>
    </xf>
    <xf numFmtId="0" fontId="64" fillId="0" borderId="0" xfId="0" applyFont="1" applyAlignment="1">
      <alignment horizontal="center" vertical="center" wrapText="1"/>
    </xf>
    <xf numFmtId="0" fontId="65" fillId="0" borderId="0" xfId="0" applyFont="1" applyAlignment="1">
      <alignment wrapText="1"/>
    </xf>
    <xf numFmtId="0" fontId="58" fillId="0" borderId="0" xfId="0" applyFont="1" applyAlignment="1">
      <alignment horizontal="center" vertical="center" wrapText="1"/>
    </xf>
    <xf numFmtId="0" fontId="5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esam/Desktop/H:\201704\Kopia%20av%20Inv%20plan%202018-2027%20utkast%20170330%20g&#228;ller%20-%20Thomas%20framflytt%20-%2020170411%20presentation%20-%20Gransk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plan 2018-2027 sekretess"/>
      <sheetName val="Omb Vårdavd AS"/>
      <sheetName val="Omb 30D återst vårdavd"/>
      <sheetName val="3 nya Arytmilab"/>
      <sheetName val="omb i samband med utr 2018"/>
      <sheetName val="30-50 husen reinvest"/>
      <sheetName val="Gränby ambulansstation"/>
      <sheetName val="ny luftbro och hissar F "/>
      <sheetName val="barnspec mottag plan 5 till 6"/>
      <sheetName val="oförutsett KB"/>
      <sheetName val="cyklotron"/>
      <sheetName val="Dialysavdelning"/>
      <sheetName val="nytt produktionskök"/>
      <sheetName val="Tillnyktringsnhet"/>
      <sheetName val="etapp 1 smågodstransportör"/>
      <sheetName val="etapp 2 smågodstransportör "/>
      <sheetName val="etapp 3 smågodstransportör  "/>
      <sheetName val="förrådshissar B11, J"/>
      <sheetName val="ny huvudentré"/>
      <sheetName val="anpass B9 ing 100"/>
      <sheetName val="upparb hyreskost FAS"/>
      <sheetName val="etapp 1 B9 ombyggnation"/>
      <sheetName val=" etapp 1 B12 ombyggnation "/>
      <sheetName val="index B9,B12 hyra "/>
      <sheetName val="B11 etapp 1"/>
      <sheetName val="B11 etapp 2"/>
      <sheetName val="B11 etapp 3"/>
      <sheetName val="J - huset ing 100"/>
      <sheetName val="Enköp renov 5112"/>
      <sheetName val="Enköp med avd 1 o 2"/>
      <sheetName val="Enköp enkelrum"/>
      <sheetName val="Enköp utök sterilen"/>
      <sheetName val="Enköp förbättra flöden op"/>
      <sheetName val="Enköp utökning kyla"/>
      <sheetName val="Enköp behov adm lok kirurg"/>
      <sheetName val="Enköp ny, större huvudentré"/>
      <sheetName val="Enköp större väntrum radiologi"/>
      <sheetName val="KTF reglerplats 10 bussar"/>
      <sheetName val="KTF bussdepå Enköping"/>
      <sheetName val="Stadsbussdepå"/>
      <sheetName val="PV inv 2 mnkr"/>
      <sheetName val="PV inv 15 mnkr SH"/>
      <sheetName val="PV hus C Enköp renov "/>
      <sheetName val="Tierp nybyggnation "/>
      <sheetName val="FTV Vretgränd"/>
      <sheetName val="Wik Black box"/>
      <sheetName val="Hälsoäventyret"/>
      <sheetName val="Närvårdsavd"/>
      <sheetName val="Östervåla nybygg "/>
      <sheetName val="Almunge nybygg"/>
      <sheetName val="FI åtg B9 etapp 1 "/>
      <sheetName val="FI åtg B9 etapp 2"/>
      <sheetName val="FI åtg B12 etapp 1"/>
      <sheetName val="FI åtg B12 etapp 2"/>
      <sheetName val="Nya Energiåtg etapp 1"/>
      <sheetName val="Nya Energiåtg etapp 2"/>
      <sheetName val="Nya Energiåtg etapp 3"/>
      <sheetName val="Nya Energiåtg etapp 4"/>
      <sheetName val="Stamrenov AS"/>
      <sheetName val="Fjv AS VS01"/>
      <sheetName val="Fjv AS VS01 (2)"/>
      <sheetName val="Akvifer"/>
      <sheetName val="FI kulvert B3"/>
      <sheetName val="Ny entre SH "/>
      <sheetName val="FI åtg 140 mnkr"/>
      <sheetName val="FI sop och tvättsug"/>
      <sheetName val="Inftastrukt åtg"/>
      <sheetName val="Energiåtg fr 2015 s pe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topLeftCell="A62" zoomScale="80" zoomScaleNormal="80" zoomScalePageLayoutView="80" workbookViewId="0">
      <selection activeCell="R28" sqref="R28"/>
    </sheetView>
  </sheetViews>
  <sheetFormatPr baseColWidth="10" defaultColWidth="8.83203125" defaultRowHeight="13" x14ac:dyDescent="0.15"/>
  <cols>
    <col min="1" max="1" width="16.33203125" customWidth="1"/>
    <col min="2" max="2" width="9.1640625" bestFit="1" customWidth="1"/>
    <col min="3" max="3" width="9.83203125" bestFit="1" customWidth="1"/>
    <col min="4" max="6" width="11" bestFit="1" customWidth="1"/>
    <col min="7" max="7" width="11.6640625" customWidth="1"/>
    <col min="8" max="9" width="9.83203125" bestFit="1" customWidth="1"/>
    <col min="10" max="10" width="9" bestFit="1" customWidth="1"/>
    <col min="12" max="12" width="10.5" customWidth="1"/>
    <col min="15" max="15" width="13.5" bestFit="1" customWidth="1"/>
    <col min="18" max="18" width="12.33203125" style="2" customWidth="1"/>
    <col min="19" max="19" width="9.1640625" bestFit="1" customWidth="1"/>
  </cols>
  <sheetData>
    <row r="1" spans="1:21" ht="18" x14ac:dyDescent="0.2">
      <c r="A1" s="1" t="s">
        <v>0</v>
      </c>
      <c r="B1" s="2"/>
      <c r="C1" s="2"/>
      <c r="D1" s="2"/>
      <c r="E1" s="2"/>
      <c r="F1" s="2"/>
      <c r="G1" s="2"/>
    </row>
    <row r="2" spans="1:21" ht="26" x14ac:dyDescent="0.15">
      <c r="A2" s="3" t="s">
        <v>1</v>
      </c>
      <c r="Q2" s="375" t="s">
        <v>2</v>
      </c>
      <c r="R2" s="376"/>
      <c r="S2" s="4" t="s">
        <v>3</v>
      </c>
      <c r="T2" s="5" t="s">
        <v>4</v>
      </c>
      <c r="U2" s="4" t="s">
        <v>5</v>
      </c>
    </row>
    <row r="3" spans="1:21" s="8" customFormat="1" ht="36" customHeight="1" x14ac:dyDescent="0.15">
      <c r="A3" s="377"/>
      <c r="B3" s="378"/>
      <c r="C3" s="6" t="s">
        <v>6</v>
      </c>
      <c r="D3" s="7" t="s">
        <v>7</v>
      </c>
      <c r="E3" s="7" t="s">
        <v>8</v>
      </c>
      <c r="F3" s="7" t="s">
        <v>9</v>
      </c>
      <c r="G3" s="7" t="s">
        <v>10</v>
      </c>
      <c r="H3" s="7" t="s">
        <v>11</v>
      </c>
      <c r="I3" s="7" t="s">
        <v>12</v>
      </c>
      <c r="J3" s="7" t="s">
        <v>13</v>
      </c>
      <c r="K3" s="7" t="s">
        <v>14</v>
      </c>
      <c r="L3" s="7" t="s">
        <v>15</v>
      </c>
      <c r="M3" s="7" t="s">
        <v>16</v>
      </c>
      <c r="N3" s="7" t="s">
        <v>17</v>
      </c>
      <c r="O3" s="7" t="s">
        <v>18</v>
      </c>
      <c r="Q3" s="379" t="s">
        <v>19</v>
      </c>
      <c r="R3" s="380"/>
      <c r="S3" s="8">
        <v>1</v>
      </c>
      <c r="T3" s="9">
        <v>720000</v>
      </c>
      <c r="U3" s="10" t="s">
        <v>20</v>
      </c>
    </row>
    <row r="4" spans="1:21" ht="14" x14ac:dyDescent="0.15">
      <c r="A4" s="371" t="s">
        <v>21</v>
      </c>
      <c r="B4" s="372"/>
      <c r="C4" s="11">
        <v>2431148.2819999997</v>
      </c>
      <c r="D4" s="11">
        <v>1018734</v>
      </c>
      <c r="E4" s="11">
        <v>575106</v>
      </c>
      <c r="F4" s="11">
        <v>235177</v>
      </c>
      <c r="G4" s="12">
        <v>1829017</v>
      </c>
      <c r="H4" s="11">
        <v>118622</v>
      </c>
      <c r="I4" s="11">
        <v>48000</v>
      </c>
      <c r="J4" s="11">
        <v>10000</v>
      </c>
      <c r="K4" s="11">
        <v>10000</v>
      </c>
      <c r="L4" s="11">
        <v>10000</v>
      </c>
      <c r="M4" s="11">
        <v>5000</v>
      </c>
      <c r="N4" s="11">
        <v>0</v>
      </c>
      <c r="O4" s="11">
        <f>G4+H4+I4+J4+K4+L4+M4+N4</f>
        <v>2030639</v>
      </c>
      <c r="Q4" s="13" t="s">
        <v>22</v>
      </c>
      <c r="R4" s="13"/>
      <c r="S4">
        <v>1</v>
      </c>
      <c r="T4" s="14">
        <v>13500</v>
      </c>
      <c r="U4" s="15" t="s">
        <v>23</v>
      </c>
    </row>
    <row r="5" spans="1:21" ht="14" x14ac:dyDescent="0.15">
      <c r="A5" s="371" t="s">
        <v>24</v>
      </c>
      <c r="B5" s="372"/>
      <c r="C5" s="11">
        <v>105893.83199999999</v>
      </c>
      <c r="D5" s="11">
        <v>145683</v>
      </c>
      <c r="E5" s="11">
        <v>186800</v>
      </c>
      <c r="F5" s="11">
        <v>474600</v>
      </c>
      <c r="G5" s="12">
        <v>807083</v>
      </c>
      <c r="H5" s="11">
        <v>754800</v>
      </c>
      <c r="I5" s="11">
        <v>353700</v>
      </c>
      <c r="J5" s="11">
        <v>165974</v>
      </c>
      <c r="K5" s="11">
        <v>25000</v>
      </c>
      <c r="L5" s="11">
        <v>0</v>
      </c>
      <c r="M5" s="11">
        <v>0</v>
      </c>
      <c r="N5" s="11">
        <v>0</v>
      </c>
      <c r="O5" s="11">
        <f t="shared" ref="O5:O16" si="0">G5+H5+I5+J5+K5+L5+M5+N5</f>
        <v>2106557</v>
      </c>
      <c r="Q5" s="13" t="s">
        <v>25</v>
      </c>
      <c r="R5" s="13"/>
      <c r="S5">
        <v>1</v>
      </c>
      <c r="T5" s="14">
        <v>262000</v>
      </c>
      <c r="U5" s="15" t="s">
        <v>26</v>
      </c>
    </row>
    <row r="6" spans="1:21" ht="14" x14ac:dyDescent="0.15">
      <c r="A6" s="371" t="s">
        <v>27</v>
      </c>
      <c r="B6" s="372"/>
      <c r="C6" s="11">
        <v>3000</v>
      </c>
      <c r="D6" s="11">
        <v>21500</v>
      </c>
      <c r="E6" s="11">
        <v>42500</v>
      </c>
      <c r="F6" s="11">
        <v>0</v>
      </c>
      <c r="G6" s="12">
        <v>64000</v>
      </c>
      <c r="H6" s="11">
        <v>101000</v>
      </c>
      <c r="I6" s="11">
        <v>108000</v>
      </c>
      <c r="J6" s="11">
        <v>7500</v>
      </c>
      <c r="K6" s="11">
        <v>0</v>
      </c>
      <c r="L6" s="11">
        <v>0</v>
      </c>
      <c r="M6" s="11">
        <v>0</v>
      </c>
      <c r="N6" s="11">
        <v>0</v>
      </c>
      <c r="O6" s="11">
        <f t="shared" si="0"/>
        <v>280500</v>
      </c>
      <c r="Q6" s="13" t="s">
        <v>28</v>
      </c>
      <c r="R6" s="13"/>
      <c r="S6">
        <v>1</v>
      </c>
      <c r="T6" s="14">
        <v>200000</v>
      </c>
      <c r="U6" s="15" t="s">
        <v>26</v>
      </c>
    </row>
    <row r="7" spans="1:21" ht="14" x14ac:dyDescent="0.15">
      <c r="A7" s="371" t="s">
        <v>29</v>
      </c>
      <c r="B7" s="372"/>
      <c r="C7" s="11">
        <v>2500</v>
      </c>
      <c r="D7" s="11">
        <v>7500</v>
      </c>
      <c r="E7" s="11">
        <v>5000</v>
      </c>
      <c r="F7" s="11">
        <v>10000</v>
      </c>
      <c r="G7" s="12">
        <v>22500</v>
      </c>
      <c r="H7" s="11">
        <v>0</v>
      </c>
      <c r="I7" s="11">
        <v>0</v>
      </c>
      <c r="J7" s="11">
        <v>10000</v>
      </c>
      <c r="K7" s="11">
        <v>50000</v>
      </c>
      <c r="L7" s="11">
        <v>50000</v>
      </c>
      <c r="M7" s="11">
        <v>0</v>
      </c>
      <c r="N7" s="11">
        <v>0</v>
      </c>
      <c r="O7" s="11">
        <f t="shared" si="0"/>
        <v>132500</v>
      </c>
      <c r="Q7" s="13" t="s">
        <v>30</v>
      </c>
      <c r="R7" s="13"/>
      <c r="S7">
        <v>1</v>
      </c>
      <c r="T7" s="14">
        <v>254000</v>
      </c>
      <c r="U7" s="15" t="s">
        <v>31</v>
      </c>
    </row>
    <row r="8" spans="1:21" ht="14" x14ac:dyDescent="0.15">
      <c r="A8" s="371" t="s">
        <v>32</v>
      </c>
      <c r="B8" s="372"/>
      <c r="C8" s="11">
        <v>25700</v>
      </c>
      <c r="D8" s="11">
        <v>117200</v>
      </c>
      <c r="E8" s="11">
        <v>138500</v>
      </c>
      <c r="F8" s="11">
        <v>93000</v>
      </c>
      <c r="G8" s="12">
        <v>348700</v>
      </c>
      <c r="H8" s="11">
        <v>142000</v>
      </c>
      <c r="I8" s="11">
        <v>327000</v>
      </c>
      <c r="J8" s="11">
        <v>310000</v>
      </c>
      <c r="K8" s="11">
        <v>320500</v>
      </c>
      <c r="L8" s="11">
        <v>358000</v>
      </c>
      <c r="M8" s="11">
        <v>438000</v>
      </c>
      <c r="N8" s="11">
        <v>0</v>
      </c>
      <c r="O8" s="11">
        <f t="shared" si="0"/>
        <v>2244200</v>
      </c>
      <c r="Q8" s="13" t="s">
        <v>33</v>
      </c>
      <c r="R8" s="13"/>
      <c r="S8">
        <v>3</v>
      </c>
      <c r="T8" s="14">
        <v>50000</v>
      </c>
      <c r="U8" s="15" t="s">
        <v>34</v>
      </c>
    </row>
    <row r="9" spans="1:21" ht="14" x14ac:dyDescent="0.15">
      <c r="A9" s="16" t="s">
        <v>35</v>
      </c>
      <c r="B9" s="17"/>
      <c r="C9" s="18">
        <v>2568242.1139999996</v>
      </c>
      <c r="D9" s="19">
        <v>1310617</v>
      </c>
      <c r="E9" s="19">
        <v>947906</v>
      </c>
      <c r="F9" s="19">
        <v>812777</v>
      </c>
      <c r="G9" s="19">
        <v>3071300</v>
      </c>
      <c r="H9" s="19">
        <v>1116422</v>
      </c>
      <c r="I9" s="19">
        <v>836700</v>
      </c>
      <c r="J9" s="19">
        <v>503474</v>
      </c>
      <c r="K9" s="19">
        <v>405500</v>
      </c>
      <c r="L9" s="19">
        <v>418000</v>
      </c>
      <c r="M9" s="19">
        <v>443000</v>
      </c>
      <c r="N9" s="19"/>
      <c r="O9" s="19">
        <f t="shared" si="0"/>
        <v>6794396</v>
      </c>
      <c r="Q9" s="13" t="s">
        <v>36</v>
      </c>
      <c r="R9" s="13"/>
      <c r="S9">
        <v>2</v>
      </c>
      <c r="T9" s="14">
        <v>60000</v>
      </c>
      <c r="U9" s="15" t="s">
        <v>37</v>
      </c>
    </row>
    <row r="10" spans="1:21" ht="14" x14ac:dyDescent="0.15">
      <c r="A10" s="371" t="s">
        <v>38</v>
      </c>
      <c r="B10" s="372"/>
      <c r="C10" s="11">
        <v>116000</v>
      </c>
      <c r="D10" s="11">
        <v>145000</v>
      </c>
      <c r="E10" s="11">
        <v>146000</v>
      </c>
      <c r="F10" s="11">
        <v>145700</v>
      </c>
      <c r="G10" s="12">
        <v>436700</v>
      </c>
      <c r="H10" s="11">
        <v>150000</v>
      </c>
      <c r="I10" s="11">
        <v>150000</v>
      </c>
      <c r="J10" s="11">
        <v>150000</v>
      </c>
      <c r="K10" s="11">
        <v>150000</v>
      </c>
      <c r="L10" s="11">
        <v>150000</v>
      </c>
      <c r="M10" s="11">
        <v>150000</v>
      </c>
      <c r="N10" s="11">
        <v>150000</v>
      </c>
      <c r="O10" s="11">
        <f t="shared" si="0"/>
        <v>1486700</v>
      </c>
      <c r="Q10" s="13" t="s">
        <v>39</v>
      </c>
      <c r="R10" s="13"/>
      <c r="S10">
        <v>2</v>
      </c>
      <c r="T10" s="14">
        <v>16000</v>
      </c>
      <c r="U10" s="15" t="s">
        <v>40</v>
      </c>
    </row>
    <row r="11" spans="1:21" ht="14" x14ac:dyDescent="0.15">
      <c r="A11" s="371" t="s">
        <v>41</v>
      </c>
      <c r="B11" s="372"/>
      <c r="C11" s="11">
        <v>85500</v>
      </c>
      <c r="D11" s="11">
        <v>128500</v>
      </c>
      <c r="E11" s="11">
        <v>48000</v>
      </c>
      <c r="F11" s="11">
        <v>29000</v>
      </c>
      <c r="G11" s="12">
        <v>205500</v>
      </c>
      <c r="H11" s="11">
        <v>0</v>
      </c>
      <c r="I11" s="11">
        <v>0</v>
      </c>
      <c r="J11" s="11">
        <v>0</v>
      </c>
      <c r="K11" s="11">
        <v>0</v>
      </c>
      <c r="L11" s="11">
        <v>0</v>
      </c>
      <c r="M11" s="11">
        <v>0</v>
      </c>
      <c r="N11" s="11">
        <v>0</v>
      </c>
      <c r="O11" s="11">
        <f t="shared" si="0"/>
        <v>205500</v>
      </c>
      <c r="Q11" s="13" t="s">
        <v>42</v>
      </c>
      <c r="R11" s="13"/>
      <c r="S11">
        <v>3.1</v>
      </c>
      <c r="T11" s="14">
        <v>200000</v>
      </c>
      <c r="U11" s="15" t="s">
        <v>43</v>
      </c>
    </row>
    <row r="12" spans="1:21" ht="14" x14ac:dyDescent="0.15">
      <c r="A12" s="371" t="s">
        <v>44</v>
      </c>
      <c r="B12" s="372"/>
      <c r="C12" s="11">
        <v>3000</v>
      </c>
      <c r="D12" s="11">
        <v>16000</v>
      </c>
      <c r="E12" s="11">
        <v>15000</v>
      </c>
      <c r="F12" s="11">
        <v>0</v>
      </c>
      <c r="G12" s="12">
        <v>31000</v>
      </c>
      <c r="H12" s="11">
        <v>0</v>
      </c>
      <c r="I12" s="11">
        <v>0</v>
      </c>
      <c r="J12" s="11">
        <v>0</v>
      </c>
      <c r="K12" s="11">
        <v>0</v>
      </c>
      <c r="L12" s="11">
        <v>0</v>
      </c>
      <c r="M12" s="11">
        <v>0</v>
      </c>
      <c r="N12" s="11">
        <v>0</v>
      </c>
      <c r="O12" s="11">
        <f t="shared" si="0"/>
        <v>31000</v>
      </c>
      <c r="Q12" s="13" t="s">
        <v>45</v>
      </c>
      <c r="R12" s="13"/>
      <c r="S12">
        <v>3</v>
      </c>
      <c r="T12" s="14">
        <v>10000</v>
      </c>
      <c r="U12" s="15" t="s">
        <v>46</v>
      </c>
    </row>
    <row r="13" spans="1:21" ht="14" x14ac:dyDescent="0.15">
      <c r="A13" s="371" t="s">
        <v>47</v>
      </c>
      <c r="B13" s="372"/>
      <c r="C13" s="11">
        <v>0</v>
      </c>
      <c r="D13" s="11">
        <v>0</v>
      </c>
      <c r="E13" s="11">
        <v>20000</v>
      </c>
      <c r="F13" s="11">
        <v>20000</v>
      </c>
      <c r="G13" s="12">
        <v>40000</v>
      </c>
      <c r="H13" s="11">
        <v>43000</v>
      </c>
      <c r="I13" s="11">
        <v>55000</v>
      </c>
      <c r="J13" s="11">
        <v>58000</v>
      </c>
      <c r="K13" s="11">
        <v>0</v>
      </c>
      <c r="L13" s="11">
        <v>0</v>
      </c>
      <c r="M13" s="11">
        <v>0</v>
      </c>
      <c r="N13" s="11">
        <v>0</v>
      </c>
      <c r="O13" s="11">
        <f t="shared" si="0"/>
        <v>196000</v>
      </c>
      <c r="Q13" s="13" t="s">
        <v>48</v>
      </c>
      <c r="R13" s="13"/>
      <c r="S13">
        <v>3</v>
      </c>
      <c r="T13" s="14">
        <v>10000</v>
      </c>
      <c r="U13" s="15" t="s">
        <v>49</v>
      </c>
    </row>
    <row r="14" spans="1:21" ht="14" x14ac:dyDescent="0.15">
      <c r="A14" s="371" t="s">
        <v>50</v>
      </c>
      <c r="B14" s="372"/>
      <c r="C14" s="11">
        <v>0</v>
      </c>
      <c r="D14" s="11">
        <v>0</v>
      </c>
      <c r="E14" s="11">
        <v>0</v>
      </c>
      <c r="F14" s="11">
        <v>0</v>
      </c>
      <c r="G14" s="12">
        <v>0</v>
      </c>
      <c r="H14" s="11">
        <v>34000</v>
      </c>
      <c r="I14" s="11">
        <v>34000</v>
      </c>
      <c r="J14" s="11">
        <v>0</v>
      </c>
      <c r="K14" s="11">
        <v>0</v>
      </c>
      <c r="L14" s="11">
        <v>0</v>
      </c>
      <c r="M14" s="11">
        <v>0</v>
      </c>
      <c r="N14" s="11">
        <v>0</v>
      </c>
      <c r="O14" s="11">
        <f t="shared" si="0"/>
        <v>68000</v>
      </c>
      <c r="Q14" s="13" t="s">
        <v>51</v>
      </c>
      <c r="R14" s="13"/>
      <c r="S14">
        <v>3</v>
      </c>
      <c r="T14" s="14">
        <v>110000</v>
      </c>
      <c r="U14" s="15" t="s">
        <v>52</v>
      </c>
    </row>
    <row r="15" spans="1:21" ht="14" x14ac:dyDescent="0.15">
      <c r="A15" s="16" t="s">
        <v>53</v>
      </c>
      <c r="B15" s="17"/>
      <c r="C15" s="19">
        <v>204500</v>
      </c>
      <c r="D15" s="19">
        <v>289500</v>
      </c>
      <c r="E15" s="19">
        <v>229000</v>
      </c>
      <c r="F15" s="19">
        <v>194700</v>
      </c>
      <c r="G15" s="19">
        <v>713200</v>
      </c>
      <c r="H15" s="19">
        <v>227000</v>
      </c>
      <c r="I15" s="19">
        <v>239000</v>
      </c>
      <c r="J15" s="19">
        <v>208000</v>
      </c>
      <c r="K15" s="19">
        <v>150000</v>
      </c>
      <c r="L15" s="19">
        <v>150000</v>
      </c>
      <c r="M15" s="19">
        <v>150000</v>
      </c>
      <c r="N15" s="19">
        <v>150000</v>
      </c>
      <c r="O15" s="19">
        <f t="shared" si="0"/>
        <v>1987200</v>
      </c>
      <c r="Q15" s="13" t="s">
        <v>54</v>
      </c>
      <c r="R15" s="13"/>
      <c r="S15">
        <v>4</v>
      </c>
      <c r="T15" s="14">
        <v>46000</v>
      </c>
      <c r="U15" s="15" t="s">
        <v>55</v>
      </c>
    </row>
    <row r="16" spans="1:21" ht="14" x14ac:dyDescent="0.15">
      <c r="A16" s="16" t="s">
        <v>56</v>
      </c>
      <c r="B16" s="17"/>
      <c r="C16" s="18">
        <v>2772742.1139999996</v>
      </c>
      <c r="D16" s="19">
        <v>1600117</v>
      </c>
      <c r="E16" s="19">
        <v>1176906</v>
      </c>
      <c r="F16" s="19">
        <v>1007477</v>
      </c>
      <c r="G16" s="19">
        <v>3784500</v>
      </c>
      <c r="H16" s="19">
        <v>1343422</v>
      </c>
      <c r="I16" s="19">
        <v>1075700</v>
      </c>
      <c r="J16" s="19">
        <v>711474</v>
      </c>
      <c r="K16" s="19">
        <v>555500</v>
      </c>
      <c r="L16" s="19">
        <v>568000</v>
      </c>
      <c r="M16" s="19">
        <v>593000</v>
      </c>
      <c r="N16" s="19">
        <v>150000</v>
      </c>
      <c r="O16" s="19">
        <f t="shared" si="0"/>
        <v>8781596</v>
      </c>
      <c r="Q16" s="13" t="s">
        <v>57</v>
      </c>
      <c r="R16" s="13"/>
      <c r="S16">
        <v>5</v>
      </c>
      <c r="T16" s="14">
        <v>160000</v>
      </c>
      <c r="U16" s="15" t="s">
        <v>58</v>
      </c>
    </row>
    <row r="17" spans="1:21" ht="14" x14ac:dyDescent="0.15">
      <c r="A17" s="20"/>
      <c r="B17" s="20"/>
      <c r="C17" s="20"/>
      <c r="D17" s="20"/>
      <c r="E17" s="20"/>
      <c r="F17" s="20"/>
      <c r="G17" s="20"/>
      <c r="H17" s="20"/>
      <c r="I17" s="20"/>
      <c r="J17" s="20"/>
      <c r="Q17" s="13" t="s">
        <v>59</v>
      </c>
      <c r="R17" s="13"/>
      <c r="S17">
        <v>4</v>
      </c>
      <c r="T17" s="14">
        <v>1500000</v>
      </c>
      <c r="U17" s="15" t="s">
        <v>37</v>
      </c>
    </row>
    <row r="18" spans="1:21" x14ac:dyDescent="0.15">
      <c r="A18" s="3" t="s">
        <v>60</v>
      </c>
      <c r="Q18" s="13" t="s">
        <v>61</v>
      </c>
      <c r="R18" s="13"/>
      <c r="S18">
        <v>5</v>
      </c>
      <c r="T18" s="14">
        <v>160000</v>
      </c>
      <c r="U18" s="15" t="s">
        <v>46</v>
      </c>
    </row>
    <row r="19" spans="1:21" ht="36" x14ac:dyDescent="0.15">
      <c r="A19" s="373"/>
      <c r="B19" s="374"/>
      <c r="C19" s="21" t="s">
        <v>6</v>
      </c>
      <c r="D19" s="22" t="s">
        <v>7</v>
      </c>
      <c r="E19" s="22" t="s">
        <v>8</v>
      </c>
      <c r="F19" s="22" t="s">
        <v>9</v>
      </c>
      <c r="G19" s="22" t="s">
        <v>10</v>
      </c>
      <c r="H19" s="22" t="s">
        <v>11</v>
      </c>
      <c r="I19" s="22" t="s">
        <v>12</v>
      </c>
      <c r="J19" s="22" t="s">
        <v>13</v>
      </c>
      <c r="K19" s="22" t="s">
        <v>14</v>
      </c>
      <c r="L19" s="22" t="s">
        <v>15</v>
      </c>
      <c r="M19" s="22" t="s">
        <v>16</v>
      </c>
      <c r="N19" s="22" t="s">
        <v>17</v>
      </c>
      <c r="O19" s="22" t="s">
        <v>62</v>
      </c>
      <c r="Q19" s="15" t="s">
        <v>63</v>
      </c>
      <c r="R19" s="13"/>
      <c r="S19">
        <v>4</v>
      </c>
      <c r="T19" s="14">
        <v>16000</v>
      </c>
      <c r="U19" s="15" t="s">
        <v>37</v>
      </c>
    </row>
    <row r="20" spans="1:21" ht="15.5" customHeight="1" x14ac:dyDescent="0.15">
      <c r="A20" s="371" t="s">
        <v>21</v>
      </c>
      <c r="B20" s="372"/>
      <c r="C20" s="11">
        <v>2431148.2819999997</v>
      </c>
      <c r="D20" s="11">
        <v>1133734</v>
      </c>
      <c r="E20" s="11">
        <v>690106</v>
      </c>
      <c r="F20" s="11">
        <v>350177</v>
      </c>
      <c r="G20" s="12">
        <v>2174017</v>
      </c>
      <c r="H20" s="11">
        <v>233622</v>
      </c>
      <c r="I20" s="11">
        <v>163000</v>
      </c>
      <c r="J20" s="11">
        <v>125000</v>
      </c>
      <c r="K20" s="11">
        <v>5000</v>
      </c>
      <c r="L20" s="11">
        <v>5000</v>
      </c>
      <c r="M20" s="11">
        <v>5000</v>
      </c>
      <c r="N20" s="11">
        <v>0</v>
      </c>
      <c r="O20" s="11">
        <f>G20+H20+I20+J20+K20+L20+M20+N20</f>
        <v>2710639</v>
      </c>
      <c r="Q20" s="13" t="s">
        <v>64</v>
      </c>
      <c r="R20" s="13"/>
      <c r="S20">
        <v>4</v>
      </c>
      <c r="T20" s="14">
        <v>2500</v>
      </c>
      <c r="U20" s="15" t="s">
        <v>65</v>
      </c>
    </row>
    <row r="21" spans="1:21" ht="15.5" customHeight="1" x14ac:dyDescent="0.15">
      <c r="A21" s="371" t="s">
        <v>24</v>
      </c>
      <c r="B21" s="372"/>
      <c r="C21" s="11">
        <v>105893.83199999999</v>
      </c>
      <c r="D21" s="11">
        <v>104100</v>
      </c>
      <c r="E21" s="11">
        <v>136800</v>
      </c>
      <c r="F21" s="11">
        <v>277600</v>
      </c>
      <c r="G21" s="12">
        <v>518500</v>
      </c>
      <c r="H21" s="11">
        <v>363800</v>
      </c>
      <c r="I21" s="11">
        <v>258700</v>
      </c>
      <c r="J21" s="11">
        <v>165974</v>
      </c>
      <c r="K21" s="11">
        <v>86583</v>
      </c>
      <c r="L21" s="11">
        <v>140000</v>
      </c>
      <c r="M21" s="11">
        <v>202000</v>
      </c>
      <c r="N21" s="11">
        <v>371000</v>
      </c>
      <c r="O21" s="11">
        <f t="shared" ref="O21:O32" si="1">G21+H21+I21+J21+K21+L21+M21+N21</f>
        <v>2106557</v>
      </c>
      <c r="Q21" s="13" t="s">
        <v>66</v>
      </c>
      <c r="R21" s="13"/>
      <c r="S21">
        <v>4</v>
      </c>
      <c r="T21" s="23">
        <v>25000</v>
      </c>
      <c r="U21" s="15" t="s">
        <v>23</v>
      </c>
    </row>
    <row r="22" spans="1:21" ht="15.5" customHeight="1" x14ac:dyDescent="0.15">
      <c r="A22" s="371" t="s">
        <v>27</v>
      </c>
      <c r="B22" s="372"/>
      <c r="C22" s="11">
        <v>3000</v>
      </c>
      <c r="D22" s="11">
        <v>3000</v>
      </c>
      <c r="E22" s="11">
        <v>2500</v>
      </c>
      <c r="F22" s="11">
        <v>0</v>
      </c>
      <c r="G22" s="12">
        <v>5500</v>
      </c>
      <c r="H22" s="11">
        <v>0</v>
      </c>
      <c r="I22" s="11">
        <v>500</v>
      </c>
      <c r="J22" s="11">
        <v>0</v>
      </c>
      <c r="K22" s="11">
        <v>119500</v>
      </c>
      <c r="L22" s="11">
        <v>147500</v>
      </c>
      <c r="M22" s="11">
        <v>7500</v>
      </c>
      <c r="N22" s="11">
        <v>0</v>
      </c>
      <c r="O22" s="11">
        <f t="shared" si="1"/>
        <v>280500</v>
      </c>
      <c r="Q22" s="13" t="s">
        <v>67</v>
      </c>
      <c r="R22" s="13"/>
      <c r="S22">
        <v>4</v>
      </c>
      <c r="T22" s="23">
        <v>68000</v>
      </c>
      <c r="U22" s="15"/>
    </row>
    <row r="23" spans="1:21" ht="15.5" customHeight="1" x14ac:dyDescent="0.15">
      <c r="A23" s="371" t="s">
        <v>29</v>
      </c>
      <c r="B23" s="372"/>
      <c r="C23" s="11">
        <v>2500</v>
      </c>
      <c r="D23" s="11">
        <v>0</v>
      </c>
      <c r="E23" s="11">
        <v>0</v>
      </c>
      <c r="F23" s="11">
        <v>0</v>
      </c>
      <c r="G23" s="12">
        <v>0</v>
      </c>
      <c r="H23" s="11">
        <v>0</v>
      </c>
      <c r="I23" s="11">
        <v>0</v>
      </c>
      <c r="J23" s="11">
        <v>0</v>
      </c>
      <c r="K23" s="11">
        <v>32500</v>
      </c>
      <c r="L23" s="11">
        <v>50000</v>
      </c>
      <c r="M23" s="11">
        <v>50000</v>
      </c>
      <c r="N23" s="11">
        <v>0</v>
      </c>
      <c r="O23" s="11">
        <f t="shared" si="1"/>
        <v>132500</v>
      </c>
      <c r="Q23" s="13" t="s">
        <v>68</v>
      </c>
      <c r="R23" s="13"/>
      <c r="S23">
        <v>0</v>
      </c>
      <c r="T23" s="2">
        <v>-240000</v>
      </c>
      <c r="U23" s="15" t="s">
        <v>69</v>
      </c>
    </row>
    <row r="24" spans="1:21" ht="15.5" customHeight="1" x14ac:dyDescent="0.15">
      <c r="A24" s="371" t="s">
        <v>32</v>
      </c>
      <c r="B24" s="372"/>
      <c r="C24" s="11">
        <v>25700</v>
      </c>
      <c r="D24" s="11">
        <v>13000</v>
      </c>
      <c r="E24" s="11">
        <v>22000</v>
      </c>
      <c r="F24" s="11">
        <v>40000</v>
      </c>
      <c r="G24" s="12">
        <v>75000</v>
      </c>
      <c r="H24" s="11">
        <v>45000</v>
      </c>
      <c r="I24" s="11">
        <v>5000</v>
      </c>
      <c r="J24" s="11">
        <v>25000</v>
      </c>
      <c r="K24" s="11">
        <v>554450</v>
      </c>
      <c r="L24" s="11">
        <v>582250</v>
      </c>
      <c r="M24" s="11">
        <v>573750</v>
      </c>
      <c r="N24" s="11">
        <v>383750</v>
      </c>
      <c r="O24" s="11">
        <f t="shared" si="1"/>
        <v>2244200</v>
      </c>
      <c r="Q24" s="13" t="s">
        <v>70</v>
      </c>
      <c r="R24" s="13"/>
      <c r="S24">
        <v>1</v>
      </c>
      <c r="T24" s="2">
        <v>-5000</v>
      </c>
      <c r="U24" s="15" t="s">
        <v>71</v>
      </c>
    </row>
    <row r="25" spans="1:21" ht="14" x14ac:dyDescent="0.15">
      <c r="A25" s="16" t="s">
        <v>35</v>
      </c>
      <c r="B25" s="17"/>
      <c r="C25" s="18">
        <v>2568242.1139999996</v>
      </c>
      <c r="D25" s="19">
        <v>1253834</v>
      </c>
      <c r="E25" s="19">
        <v>851406</v>
      </c>
      <c r="F25" s="19">
        <v>667777</v>
      </c>
      <c r="G25" s="19">
        <v>2773017</v>
      </c>
      <c r="H25" s="19">
        <v>642422</v>
      </c>
      <c r="I25" s="19">
        <v>427200</v>
      </c>
      <c r="J25" s="19">
        <v>315974</v>
      </c>
      <c r="K25" s="19">
        <v>798033</v>
      </c>
      <c r="L25" s="19">
        <v>924750</v>
      </c>
      <c r="M25" s="19">
        <v>838250</v>
      </c>
      <c r="N25" s="19">
        <v>754750</v>
      </c>
      <c r="O25" s="19">
        <f t="shared" si="1"/>
        <v>7474396</v>
      </c>
      <c r="Q25" s="13" t="s">
        <v>72</v>
      </c>
      <c r="R25" s="13"/>
      <c r="S25">
        <v>3</v>
      </c>
      <c r="T25" s="14">
        <v>-25000</v>
      </c>
      <c r="U25" s="15" t="s">
        <v>73</v>
      </c>
    </row>
    <row r="26" spans="1:21" ht="15.5" customHeight="1" x14ac:dyDescent="0.15">
      <c r="A26" s="371" t="s">
        <v>38</v>
      </c>
      <c r="B26" s="372"/>
      <c r="C26" s="11">
        <v>116000</v>
      </c>
      <c r="D26" s="11">
        <v>105000</v>
      </c>
      <c r="E26" s="11">
        <v>106000</v>
      </c>
      <c r="F26" s="11">
        <v>105700</v>
      </c>
      <c r="G26" s="12">
        <v>316700</v>
      </c>
      <c r="H26" s="11">
        <v>110000</v>
      </c>
      <c r="I26" s="11">
        <v>110000</v>
      </c>
      <c r="J26" s="11">
        <v>110000</v>
      </c>
      <c r="K26" s="11">
        <v>150000</v>
      </c>
      <c r="L26" s="11">
        <v>150000</v>
      </c>
      <c r="M26" s="11">
        <v>150000</v>
      </c>
      <c r="N26" s="11">
        <v>150000</v>
      </c>
      <c r="O26" s="11">
        <f t="shared" si="1"/>
        <v>1246700</v>
      </c>
      <c r="P26" s="14"/>
      <c r="Q26" s="13"/>
    </row>
    <row r="27" spans="1:21" ht="15.5" customHeight="1" x14ac:dyDescent="0.15">
      <c r="A27" s="371" t="s">
        <v>41</v>
      </c>
      <c r="B27" s="372"/>
      <c r="C27" s="11">
        <v>85500</v>
      </c>
      <c r="D27" s="11">
        <v>123500</v>
      </c>
      <c r="E27" s="11">
        <v>48000</v>
      </c>
      <c r="F27" s="11">
        <v>29000</v>
      </c>
      <c r="G27" s="12">
        <v>200500</v>
      </c>
      <c r="H27" s="11">
        <v>0</v>
      </c>
      <c r="I27" s="11">
        <v>0</v>
      </c>
      <c r="J27" s="11">
        <v>0</v>
      </c>
      <c r="K27" s="11">
        <v>0</v>
      </c>
      <c r="L27" s="11">
        <v>0</v>
      </c>
      <c r="M27" s="11">
        <v>0</v>
      </c>
      <c r="N27" s="11">
        <v>0</v>
      </c>
      <c r="O27" s="11">
        <f t="shared" si="1"/>
        <v>200500</v>
      </c>
    </row>
    <row r="28" spans="1:21" ht="15.5" customHeight="1" x14ac:dyDescent="0.15">
      <c r="A28" s="371" t="s">
        <v>44</v>
      </c>
      <c r="B28" s="372"/>
      <c r="C28" s="11">
        <v>3000</v>
      </c>
      <c r="D28" s="11">
        <v>16000</v>
      </c>
      <c r="E28" s="11">
        <v>15000</v>
      </c>
      <c r="F28" s="11">
        <v>0</v>
      </c>
      <c r="G28" s="12">
        <v>31000</v>
      </c>
      <c r="H28" s="11">
        <v>0</v>
      </c>
      <c r="I28" s="11">
        <v>0</v>
      </c>
      <c r="J28" s="11">
        <v>0</v>
      </c>
      <c r="K28" s="11">
        <v>0</v>
      </c>
      <c r="L28" s="11">
        <v>0</v>
      </c>
      <c r="M28" s="11">
        <v>0</v>
      </c>
      <c r="N28" s="11">
        <v>0</v>
      </c>
      <c r="O28" s="11">
        <f t="shared" si="1"/>
        <v>31000</v>
      </c>
    </row>
    <row r="29" spans="1:21" ht="15.5" customHeight="1" x14ac:dyDescent="0.15">
      <c r="A29" s="371" t="s">
        <v>47</v>
      </c>
      <c r="B29" s="372"/>
      <c r="C29" s="11">
        <v>0</v>
      </c>
      <c r="D29" s="11">
        <v>0</v>
      </c>
      <c r="E29" s="11">
        <v>15000</v>
      </c>
      <c r="F29" s="11">
        <v>15000</v>
      </c>
      <c r="G29" s="12">
        <v>30000</v>
      </c>
      <c r="H29" s="11">
        <v>38000</v>
      </c>
      <c r="I29" s="11">
        <v>50000</v>
      </c>
      <c r="J29" s="11">
        <v>53000</v>
      </c>
      <c r="K29" s="11">
        <v>0</v>
      </c>
      <c r="L29" s="11">
        <v>0</v>
      </c>
      <c r="M29" s="11">
        <v>0</v>
      </c>
      <c r="N29" s="11">
        <v>0</v>
      </c>
      <c r="O29" s="11">
        <f t="shared" si="1"/>
        <v>171000</v>
      </c>
    </row>
    <row r="30" spans="1:21" ht="15.5" customHeight="1" x14ac:dyDescent="0.15">
      <c r="A30" s="371" t="s">
        <v>50</v>
      </c>
      <c r="B30" s="372"/>
      <c r="C30" s="11">
        <v>0</v>
      </c>
      <c r="D30" s="11">
        <v>0</v>
      </c>
      <c r="E30" s="11">
        <v>0</v>
      </c>
      <c r="F30" s="11">
        <v>0</v>
      </c>
      <c r="G30" s="12">
        <v>0</v>
      </c>
      <c r="H30" s="11">
        <v>0</v>
      </c>
      <c r="I30" s="11">
        <v>0</v>
      </c>
      <c r="J30" s="11">
        <v>0</v>
      </c>
      <c r="K30" s="11">
        <v>34000</v>
      </c>
      <c r="L30" s="11">
        <v>34000</v>
      </c>
      <c r="M30" s="11">
        <v>0</v>
      </c>
      <c r="N30" s="11">
        <v>0</v>
      </c>
      <c r="O30" s="11">
        <f t="shared" si="1"/>
        <v>68000</v>
      </c>
    </row>
    <row r="31" spans="1:21" ht="14" x14ac:dyDescent="0.15">
      <c r="A31" s="16" t="s">
        <v>53</v>
      </c>
      <c r="B31" s="17"/>
      <c r="C31" s="19">
        <v>204500</v>
      </c>
      <c r="D31" s="19">
        <v>244500</v>
      </c>
      <c r="E31" s="19">
        <v>184000</v>
      </c>
      <c r="F31" s="19">
        <v>149700</v>
      </c>
      <c r="G31" s="19">
        <v>578200</v>
      </c>
      <c r="H31" s="19">
        <v>148000</v>
      </c>
      <c r="I31" s="19">
        <v>160000</v>
      </c>
      <c r="J31" s="19">
        <v>163000</v>
      </c>
      <c r="K31" s="19">
        <v>184000</v>
      </c>
      <c r="L31" s="19">
        <v>184000</v>
      </c>
      <c r="M31" s="19">
        <v>150000</v>
      </c>
      <c r="N31" s="19">
        <v>150000</v>
      </c>
      <c r="O31" s="19">
        <f t="shared" si="1"/>
        <v>1717200</v>
      </c>
    </row>
    <row r="32" spans="1:21" ht="14" x14ac:dyDescent="0.15">
      <c r="A32" s="16" t="s">
        <v>56</v>
      </c>
      <c r="B32" s="17"/>
      <c r="C32" s="18">
        <v>2772742.1139999996</v>
      </c>
      <c r="D32" s="19">
        <v>1498334</v>
      </c>
      <c r="E32" s="19">
        <v>1035406</v>
      </c>
      <c r="F32" s="19">
        <v>817477</v>
      </c>
      <c r="G32" s="19">
        <v>3351217</v>
      </c>
      <c r="H32" s="19">
        <v>790422</v>
      </c>
      <c r="I32" s="19">
        <v>587200</v>
      </c>
      <c r="J32" s="19">
        <v>478974</v>
      </c>
      <c r="K32" s="19">
        <v>982033</v>
      </c>
      <c r="L32" s="19">
        <v>1108750</v>
      </c>
      <c r="M32" s="19">
        <v>988250</v>
      </c>
      <c r="N32" s="19">
        <v>904750</v>
      </c>
      <c r="O32" s="19">
        <f t="shared" si="1"/>
        <v>9191596</v>
      </c>
    </row>
    <row r="34" spans="1:22" x14ac:dyDescent="0.15">
      <c r="A34" s="3" t="s">
        <v>74</v>
      </c>
      <c r="C34" s="2">
        <f>C16-C32</f>
        <v>0</v>
      </c>
      <c r="D34" s="2">
        <f>D16-D32</f>
        <v>101783</v>
      </c>
      <c r="E34" s="2">
        <f t="shared" ref="E34:O34" si="2">E16-E32</f>
        <v>141500</v>
      </c>
      <c r="F34" s="2">
        <f t="shared" si="2"/>
        <v>190000</v>
      </c>
      <c r="G34" s="2">
        <f t="shared" si="2"/>
        <v>433283</v>
      </c>
      <c r="H34" s="2">
        <f t="shared" si="2"/>
        <v>553000</v>
      </c>
      <c r="I34" s="2">
        <f t="shared" si="2"/>
        <v>488500</v>
      </c>
      <c r="J34" s="2">
        <f t="shared" si="2"/>
        <v>232500</v>
      </c>
      <c r="K34" s="2">
        <f t="shared" si="2"/>
        <v>-426533</v>
      </c>
      <c r="L34" s="2">
        <f t="shared" si="2"/>
        <v>-540750</v>
      </c>
      <c r="M34" s="2">
        <f t="shared" si="2"/>
        <v>-395250</v>
      </c>
      <c r="N34" s="2">
        <f t="shared" si="2"/>
        <v>-754750</v>
      </c>
      <c r="O34" s="2">
        <f t="shared" si="2"/>
        <v>-410000</v>
      </c>
    </row>
    <row r="35" spans="1:22" x14ac:dyDescent="0.15">
      <c r="A35" s="3" t="s">
        <v>75</v>
      </c>
      <c r="C35" s="2">
        <f>C9-C25</f>
        <v>0</v>
      </c>
      <c r="D35" s="2">
        <f t="shared" ref="D35:O35" si="3">D9-D25</f>
        <v>56783</v>
      </c>
      <c r="E35" s="2">
        <f t="shared" si="3"/>
        <v>96500</v>
      </c>
      <c r="F35" s="2">
        <f t="shared" si="3"/>
        <v>145000</v>
      </c>
      <c r="G35" s="2">
        <f t="shared" si="3"/>
        <v>298283</v>
      </c>
      <c r="H35" s="2">
        <f t="shared" si="3"/>
        <v>474000</v>
      </c>
      <c r="I35" s="2">
        <f t="shared" si="3"/>
        <v>409500</v>
      </c>
      <c r="J35" s="2">
        <f t="shared" si="3"/>
        <v>187500</v>
      </c>
      <c r="K35" s="2">
        <f t="shared" si="3"/>
        <v>-392533</v>
      </c>
      <c r="L35" s="2">
        <f t="shared" si="3"/>
        <v>-506750</v>
      </c>
      <c r="M35" s="2">
        <f t="shared" si="3"/>
        <v>-395250</v>
      </c>
      <c r="N35" s="2">
        <f t="shared" si="3"/>
        <v>-754750</v>
      </c>
      <c r="O35" s="2">
        <f t="shared" si="3"/>
        <v>-680000</v>
      </c>
    </row>
    <row r="36" spans="1:22" x14ac:dyDescent="0.15">
      <c r="A36" s="24" t="s">
        <v>76</v>
      </c>
      <c r="C36" s="2">
        <f>C15-C31</f>
        <v>0</v>
      </c>
      <c r="D36" s="2">
        <f t="shared" ref="D36:O36" si="4">D15-D31</f>
        <v>45000</v>
      </c>
      <c r="E36" s="2">
        <f t="shared" si="4"/>
        <v>45000</v>
      </c>
      <c r="F36" s="2">
        <f t="shared" si="4"/>
        <v>45000</v>
      </c>
      <c r="G36" s="2">
        <f t="shared" si="4"/>
        <v>135000</v>
      </c>
      <c r="H36" s="2">
        <f t="shared" si="4"/>
        <v>79000</v>
      </c>
      <c r="I36" s="2">
        <f t="shared" si="4"/>
        <v>79000</v>
      </c>
      <c r="J36" s="2">
        <f t="shared" si="4"/>
        <v>45000</v>
      </c>
      <c r="K36" s="2">
        <f t="shared" si="4"/>
        <v>-34000</v>
      </c>
      <c r="L36" s="2">
        <f t="shared" si="4"/>
        <v>-34000</v>
      </c>
      <c r="M36" s="2">
        <f t="shared" si="4"/>
        <v>0</v>
      </c>
      <c r="N36" s="2">
        <f t="shared" si="4"/>
        <v>0</v>
      </c>
      <c r="O36" s="2">
        <f t="shared" si="4"/>
        <v>270000</v>
      </c>
    </row>
    <row r="39" spans="1:22" ht="14" x14ac:dyDescent="0.15">
      <c r="A39" s="25" t="s">
        <v>77</v>
      </c>
    </row>
    <row r="40" spans="1:22" ht="33" x14ac:dyDescent="0.15">
      <c r="B40" s="26" t="s">
        <v>78</v>
      </c>
      <c r="C40" s="26" t="s">
        <v>79</v>
      </c>
      <c r="D40" s="26" t="s">
        <v>80</v>
      </c>
      <c r="E40" s="26" t="s">
        <v>81</v>
      </c>
      <c r="F40" s="26" t="s">
        <v>82</v>
      </c>
      <c r="G40" s="26" t="s">
        <v>83</v>
      </c>
      <c r="H40" s="26" t="s">
        <v>84</v>
      </c>
      <c r="I40" s="26" t="s">
        <v>85</v>
      </c>
      <c r="J40" s="26" t="s">
        <v>86</v>
      </c>
      <c r="K40" s="26" t="s">
        <v>87</v>
      </c>
      <c r="L40" s="27" t="s">
        <v>88</v>
      </c>
      <c r="M40" s="27" t="s">
        <v>89</v>
      </c>
      <c r="N40" s="27" t="s">
        <v>90</v>
      </c>
      <c r="O40" s="27" t="s">
        <v>91</v>
      </c>
      <c r="P40" s="27" t="s">
        <v>92</v>
      </c>
      <c r="Q40" s="27" t="s">
        <v>93</v>
      </c>
      <c r="R40" s="27" t="s">
        <v>94</v>
      </c>
      <c r="S40" s="27" t="s">
        <v>95</v>
      </c>
      <c r="T40" s="27" t="s">
        <v>96</v>
      </c>
      <c r="U40" s="27" t="s">
        <v>97</v>
      </c>
      <c r="V40" s="27" t="s">
        <v>98</v>
      </c>
    </row>
    <row r="41" spans="1:22" ht="25.25" customHeight="1" x14ac:dyDescent="0.15">
      <c r="A41" s="28" t="s">
        <v>21</v>
      </c>
      <c r="B41" s="29">
        <v>84411.875753987813</v>
      </c>
      <c r="C41" s="29">
        <v>198502.60470559617</v>
      </c>
      <c r="D41" s="29">
        <v>271541.82892989711</v>
      </c>
      <c r="E41" s="29">
        <v>289839.07636077987</v>
      </c>
      <c r="F41" s="29">
        <v>297450.34478856699</v>
      </c>
      <c r="G41" s="29">
        <v>300160.51132705237</v>
      </c>
      <c r="H41" s="29">
        <v>301169.22818927688</v>
      </c>
      <c r="I41" s="29">
        <v>301835.1003309607</v>
      </c>
      <c r="J41" s="29">
        <v>302843.81719318521</v>
      </c>
      <c r="K41" s="29">
        <v>303509.68933486904</v>
      </c>
      <c r="L41" s="30">
        <v>0</v>
      </c>
      <c r="M41" s="31">
        <v>34587.401765178831</v>
      </c>
      <c r="N41" s="31">
        <v>76276.250189499813</v>
      </c>
      <c r="O41" s="31">
        <v>99288.17104063541</v>
      </c>
      <c r="P41" s="31">
        <v>96869.029648945274</v>
      </c>
      <c r="Q41" s="31">
        <v>92026.131932657328</v>
      </c>
      <c r="R41" s="31">
        <v>85351.591611093914</v>
      </c>
      <c r="S41" s="31">
        <v>77932.209299124734</v>
      </c>
      <c r="T41" s="31">
        <v>70346.567541029537</v>
      </c>
      <c r="U41" s="31">
        <v>62861.414395727013</v>
      </c>
      <c r="V41" s="31">
        <v>55210.00180429851</v>
      </c>
    </row>
    <row r="42" spans="1:22" ht="15" customHeight="1" x14ac:dyDescent="0.15">
      <c r="A42" s="28" t="s">
        <v>24</v>
      </c>
      <c r="B42" s="29">
        <v>0</v>
      </c>
      <c r="C42" s="29">
        <v>2503.321907172005</v>
      </c>
      <c r="D42" s="29">
        <v>6087.1724276585137</v>
      </c>
      <c r="E42" s="29">
        <v>6087.1724276585137</v>
      </c>
      <c r="F42" s="29">
        <v>68329.125370315131</v>
      </c>
      <c r="G42" s="29">
        <v>143154.9392417729</v>
      </c>
      <c r="H42" s="29">
        <v>150010.20599988615</v>
      </c>
      <c r="I42" s="29">
        <v>150010.20599988615</v>
      </c>
      <c r="J42" s="29">
        <v>150010.20599988615</v>
      </c>
      <c r="K42" s="29">
        <v>150010.20599988615</v>
      </c>
      <c r="L42" s="30">
        <v>930</v>
      </c>
      <c r="M42" s="31">
        <v>0</v>
      </c>
      <c r="N42" s="31">
        <v>894.59475949466128</v>
      </c>
      <c r="O42" s="31">
        <v>2176.2463223414861</v>
      </c>
      <c r="P42" s="31">
        <v>2013.9734056748193</v>
      </c>
      <c r="Q42" s="31">
        <v>28526.977698434846</v>
      </c>
      <c r="R42" s="31">
        <v>52230.695627212372</v>
      </c>
      <c r="S42" s="31">
        <v>50461.533535165741</v>
      </c>
      <c r="T42" s="31">
        <v>45915.554867899096</v>
      </c>
      <c r="U42" s="31">
        <v>41369.576200632429</v>
      </c>
      <c r="V42" s="31">
        <v>36823.597533365763</v>
      </c>
    </row>
    <row r="43" spans="1:22" ht="15" customHeight="1" x14ac:dyDescent="0.15">
      <c r="A43" s="28" t="s">
        <v>27</v>
      </c>
      <c r="B43" s="29">
        <v>0</v>
      </c>
      <c r="C43" s="29">
        <v>4460.2026390236297</v>
      </c>
      <c r="D43" s="29">
        <v>4632.4395955336322</v>
      </c>
      <c r="E43" s="29">
        <v>4632.4395955336322</v>
      </c>
      <c r="F43" s="29">
        <v>4632.4395955336322</v>
      </c>
      <c r="G43" s="29">
        <v>17650.307687608121</v>
      </c>
      <c r="H43" s="29">
        <v>18750.111863233713</v>
      </c>
      <c r="I43" s="29">
        <v>18750.111863233713</v>
      </c>
      <c r="J43" s="29">
        <v>18750.111863233713</v>
      </c>
      <c r="K43" s="29">
        <v>18750.111863233713</v>
      </c>
      <c r="L43" s="30">
        <v>0</v>
      </c>
      <c r="M43" s="31">
        <v>0</v>
      </c>
      <c r="N43" s="31">
        <v>1629.7973609763706</v>
      </c>
      <c r="O43" s="31">
        <v>1553.1395711330347</v>
      </c>
      <c r="P43" s="31">
        <v>1407.9166544663678</v>
      </c>
      <c r="Q43" s="31">
        <v>1262.6937377997015</v>
      </c>
      <c r="R43" s="31">
        <v>6864.3527290585444</v>
      </c>
      <c r="S43" s="31">
        <v>6785.7485534329544</v>
      </c>
      <c r="T43" s="31">
        <v>6265.8152200996201</v>
      </c>
      <c r="U43" s="31">
        <v>5745.8818867662867</v>
      </c>
      <c r="V43" s="31">
        <v>5225.9485534329542</v>
      </c>
    </row>
    <row r="44" spans="1:22" ht="15" customHeight="1" x14ac:dyDescent="0.15">
      <c r="A44" s="28" t="s">
        <v>29</v>
      </c>
      <c r="B44" s="29">
        <v>0</v>
      </c>
      <c r="C44" s="29">
        <v>685.29768547644028</v>
      </c>
      <c r="D44" s="29">
        <v>811.63586838234346</v>
      </c>
      <c r="E44" s="29">
        <v>1389.1418969777917</v>
      </c>
      <c r="F44" s="29">
        <v>1389.1418969777917</v>
      </c>
      <c r="G44" s="29">
        <v>1389.1418969777917</v>
      </c>
      <c r="H44" s="29">
        <v>1389.1418969777917</v>
      </c>
      <c r="I44" s="29">
        <v>1389.1418969777917</v>
      </c>
      <c r="J44" s="29">
        <v>8913.7139734002812</v>
      </c>
      <c r="K44" s="29">
        <v>8913.7139734002812</v>
      </c>
      <c r="L44" s="30">
        <v>0</v>
      </c>
      <c r="M44" s="31">
        <v>0</v>
      </c>
      <c r="N44" s="31">
        <v>256.36898119022635</v>
      </c>
      <c r="O44" s="31">
        <v>738.4831030222083</v>
      </c>
      <c r="P44" s="31">
        <v>685.31643635554155</v>
      </c>
      <c r="Q44" s="31">
        <v>632.14976968887504</v>
      </c>
      <c r="R44" s="31">
        <v>578.9831030222083</v>
      </c>
      <c r="S44" s="31">
        <v>525.81643635554167</v>
      </c>
      <c r="T44" s="31">
        <v>472.64976968887498</v>
      </c>
      <c r="U44" s="31">
        <v>3253.2443599330536</v>
      </c>
      <c r="V44" s="31">
        <v>2963.1193599330541</v>
      </c>
    </row>
    <row r="45" spans="1:22" ht="15" customHeight="1" x14ac:dyDescent="0.15">
      <c r="A45" s="28" t="s">
        <v>32</v>
      </c>
      <c r="B45" s="29">
        <v>104.58533535955061</v>
      </c>
      <c r="C45" s="29">
        <v>13288.287273758588</v>
      </c>
      <c r="D45" s="29">
        <v>16032.205528318269</v>
      </c>
      <c r="E45" s="29">
        <v>17360.627873645204</v>
      </c>
      <c r="F45" s="29">
        <v>32353.947428189575</v>
      </c>
      <c r="G45" s="29">
        <v>34081.175786893466</v>
      </c>
      <c r="H45" s="29">
        <v>80752.53137905887</v>
      </c>
      <c r="I45" s="29">
        <v>82214.075268697372</v>
      </c>
      <c r="J45" s="29">
        <v>82214.075268697372</v>
      </c>
      <c r="K45" s="29">
        <v>155009.04099889915</v>
      </c>
      <c r="L45" s="30">
        <v>0</v>
      </c>
      <c r="M45" s="31">
        <v>26.664664640449374</v>
      </c>
      <c r="N45" s="31">
        <v>4671.6710595747463</v>
      </c>
      <c r="O45" s="31">
        <v>5816.6111383483967</v>
      </c>
      <c r="P45" s="31">
        <v>5639.0262930214649</v>
      </c>
      <c r="Q45" s="31">
        <v>11071.544238477087</v>
      </c>
      <c r="R45" s="31">
        <v>10744.007546439861</v>
      </c>
      <c r="S45" s="31">
        <v>27071.192579274422</v>
      </c>
      <c r="T45" s="31">
        <v>25175.347647969244</v>
      </c>
      <c r="U45" s="31">
        <v>22694.228897969253</v>
      </c>
      <c r="V45" s="31">
        <v>50206.303168866929</v>
      </c>
    </row>
    <row r="46" spans="1:22" x14ac:dyDescent="0.15">
      <c r="A46" s="32" t="s">
        <v>35</v>
      </c>
      <c r="B46" s="33">
        <v>84516.461089347358</v>
      </c>
      <c r="C46" s="33">
        <v>219439.71421102682</v>
      </c>
      <c r="D46" s="33">
        <v>299105.28234978986</v>
      </c>
      <c r="E46" s="33">
        <v>319308.45815459505</v>
      </c>
      <c r="F46" s="33">
        <v>404154.9990795831</v>
      </c>
      <c r="G46" s="33">
        <v>496436.07594030461</v>
      </c>
      <c r="H46" s="33">
        <v>552071.21932843339</v>
      </c>
      <c r="I46" s="33">
        <v>554198.63535975572</v>
      </c>
      <c r="J46" s="33">
        <v>562731.92429840274</v>
      </c>
      <c r="K46" s="33">
        <v>636192.76217028836</v>
      </c>
      <c r="L46" s="33">
        <v>930</v>
      </c>
      <c r="M46" s="33">
        <v>34614.066429819279</v>
      </c>
      <c r="N46" s="33">
        <v>83728.68235073582</v>
      </c>
      <c r="O46" s="33">
        <v>109572.65117548054</v>
      </c>
      <c r="P46" s="33">
        <v>106615.26243846347</v>
      </c>
      <c r="Q46" s="33">
        <v>133519.49737705782</v>
      </c>
      <c r="R46" s="33">
        <v>155769.63061682688</v>
      </c>
      <c r="S46" s="33">
        <v>162776.50040335339</v>
      </c>
      <c r="T46" s="33">
        <v>148175.93504668638</v>
      </c>
      <c r="U46" s="33">
        <v>135924.34574102805</v>
      </c>
      <c r="V46" s="33">
        <v>150428.97041989723</v>
      </c>
    </row>
    <row r="47" spans="1:22" ht="24.5" customHeight="1" x14ac:dyDescent="0.15">
      <c r="A47" s="28" t="s">
        <v>38</v>
      </c>
      <c r="B47" s="29">
        <v>0</v>
      </c>
      <c r="C47" s="29">
        <v>0</v>
      </c>
      <c r="D47" s="29">
        <v>0</v>
      </c>
      <c r="E47" s="29">
        <v>0</v>
      </c>
      <c r="F47" s="29">
        <v>0</v>
      </c>
      <c r="G47" s="29">
        <v>0</v>
      </c>
      <c r="H47" s="29">
        <v>0</v>
      </c>
      <c r="I47" s="29">
        <v>0</v>
      </c>
      <c r="J47" s="29">
        <v>0</v>
      </c>
      <c r="K47" s="29">
        <v>0</v>
      </c>
      <c r="L47" s="30">
        <v>0</v>
      </c>
      <c r="M47" s="31">
        <v>7000</v>
      </c>
      <c r="N47" s="31">
        <v>7350</v>
      </c>
      <c r="O47" s="31">
        <v>21665</v>
      </c>
      <c r="P47" s="31">
        <v>37052.875</v>
      </c>
      <c r="Q47" s="31">
        <v>51994.301249999997</v>
      </c>
      <c r="R47" s="31">
        <v>65092.852500000001</v>
      </c>
      <c r="S47" s="31">
        <v>77806.403749999998</v>
      </c>
      <c r="T47" s="31">
        <v>90134.955000000002</v>
      </c>
      <c r="U47" s="31">
        <v>102078.50625000001</v>
      </c>
      <c r="V47" s="31">
        <v>113637.0575</v>
      </c>
    </row>
    <row r="48" spans="1:22" ht="15" customHeight="1" x14ac:dyDescent="0.15">
      <c r="A48" s="28" t="s">
        <v>41</v>
      </c>
      <c r="B48" s="29">
        <v>0</v>
      </c>
      <c r="C48" s="29">
        <v>0</v>
      </c>
      <c r="D48" s="29">
        <v>0</v>
      </c>
      <c r="E48" s="29">
        <v>0</v>
      </c>
      <c r="F48" s="29">
        <v>0</v>
      </c>
      <c r="G48" s="29">
        <v>0</v>
      </c>
      <c r="H48" s="29">
        <v>0</v>
      </c>
      <c r="I48" s="29">
        <v>0</v>
      </c>
      <c r="J48" s="29">
        <v>0</v>
      </c>
      <c r="K48" s="29">
        <v>0</v>
      </c>
      <c r="L48" s="30">
        <v>0</v>
      </c>
      <c r="M48" s="31">
        <v>0</v>
      </c>
      <c r="N48" s="31">
        <v>11825.833333333332</v>
      </c>
      <c r="O48" s="31">
        <v>20054</v>
      </c>
      <c r="P48" s="31">
        <v>24300.916666666668</v>
      </c>
      <c r="Q48" s="31">
        <v>26464.956249999999</v>
      </c>
      <c r="R48" s="31">
        <v>25755.662499999999</v>
      </c>
      <c r="S48" s="31">
        <v>25046.368749999998</v>
      </c>
      <c r="T48" s="31">
        <v>24337.075000000001</v>
      </c>
      <c r="U48" s="31">
        <v>23627.78125</v>
      </c>
      <c r="V48" s="31">
        <v>22918.487499999999</v>
      </c>
    </row>
    <row r="49" spans="1:22" ht="15" customHeight="1" x14ac:dyDescent="0.15">
      <c r="A49" s="28" t="s">
        <v>44</v>
      </c>
      <c r="B49" s="29">
        <v>0</v>
      </c>
      <c r="C49" s="29">
        <v>0</v>
      </c>
      <c r="D49" s="29">
        <v>0</v>
      </c>
      <c r="E49" s="29">
        <v>0</v>
      </c>
      <c r="F49" s="29">
        <v>0</v>
      </c>
      <c r="G49" s="29">
        <v>0</v>
      </c>
      <c r="H49" s="29">
        <v>0</v>
      </c>
      <c r="I49" s="29">
        <v>0</v>
      </c>
      <c r="J49" s="29">
        <v>0</v>
      </c>
      <c r="K49" s="29">
        <v>0</v>
      </c>
      <c r="L49" s="30">
        <v>0</v>
      </c>
      <c r="M49" s="31">
        <v>0</v>
      </c>
      <c r="N49" s="31">
        <v>1137.8571428571427</v>
      </c>
      <c r="O49" s="31">
        <v>2415</v>
      </c>
      <c r="P49" s="31">
        <v>3623.3928571428569</v>
      </c>
      <c r="Q49" s="31">
        <v>3519.2857142857142</v>
      </c>
      <c r="R49" s="31">
        <v>3415.1785714285716</v>
      </c>
      <c r="S49" s="31">
        <v>3311.0714285714284</v>
      </c>
      <c r="T49" s="31">
        <v>3206.9642857142858</v>
      </c>
      <c r="U49" s="31">
        <v>3102.8571428571431</v>
      </c>
      <c r="V49" s="31">
        <v>2998.75</v>
      </c>
    </row>
    <row r="50" spans="1:22" ht="15" customHeight="1" x14ac:dyDescent="0.15">
      <c r="A50" s="28" t="s">
        <v>47</v>
      </c>
      <c r="B50" s="29">
        <v>0</v>
      </c>
      <c r="C50" s="29">
        <v>0</v>
      </c>
      <c r="D50" s="29">
        <v>0</v>
      </c>
      <c r="E50" s="29">
        <v>0</v>
      </c>
      <c r="F50" s="29">
        <v>0</v>
      </c>
      <c r="G50" s="29">
        <v>0</v>
      </c>
      <c r="H50" s="29">
        <v>0</v>
      </c>
      <c r="I50" s="29">
        <v>0</v>
      </c>
      <c r="J50" s="29">
        <v>0</v>
      </c>
      <c r="K50" s="29">
        <v>0</v>
      </c>
      <c r="L50" s="30">
        <v>0</v>
      </c>
      <c r="M50" s="31">
        <v>0</v>
      </c>
      <c r="N50" s="31">
        <v>0</v>
      </c>
      <c r="O50" s="31">
        <v>1050</v>
      </c>
      <c r="P50" s="31">
        <v>3095</v>
      </c>
      <c r="Q50" s="31">
        <v>6135</v>
      </c>
      <c r="R50" s="31">
        <v>10115</v>
      </c>
      <c r="S50" s="31">
        <v>13265</v>
      </c>
      <c r="T50" s="31">
        <v>14272.1</v>
      </c>
      <c r="U50" s="31">
        <v>13899.2</v>
      </c>
      <c r="V50" s="31">
        <v>13526.3</v>
      </c>
    </row>
    <row r="51" spans="1:22" ht="15" customHeight="1" x14ac:dyDescent="0.15">
      <c r="A51" s="28" t="s">
        <v>50</v>
      </c>
      <c r="B51" s="29">
        <v>0</v>
      </c>
      <c r="C51" s="29">
        <v>0</v>
      </c>
      <c r="D51" s="29">
        <v>0</v>
      </c>
      <c r="E51" s="29">
        <v>0</v>
      </c>
      <c r="F51" s="29">
        <v>0</v>
      </c>
      <c r="G51" s="29">
        <v>0</v>
      </c>
      <c r="H51" s="29">
        <v>0</v>
      </c>
      <c r="I51" s="29">
        <v>0</v>
      </c>
      <c r="J51" s="29">
        <v>0</v>
      </c>
      <c r="K51" s="29">
        <v>0</v>
      </c>
      <c r="L51" s="30">
        <v>0</v>
      </c>
      <c r="M51" s="31">
        <v>0</v>
      </c>
      <c r="N51" s="31">
        <v>0</v>
      </c>
      <c r="O51" s="31">
        <v>0</v>
      </c>
      <c r="P51" s="31">
        <v>0</v>
      </c>
      <c r="Q51" s="31">
        <v>0</v>
      </c>
      <c r="R51" s="31">
        <v>3086.666666666667</v>
      </c>
      <c r="S51" s="31">
        <v>6039.5</v>
      </c>
      <c r="T51" s="31">
        <v>5905.666666666667</v>
      </c>
      <c r="U51" s="31">
        <v>5771.8333333333339</v>
      </c>
      <c r="V51" s="31">
        <v>5638</v>
      </c>
    </row>
    <row r="52" spans="1:22" x14ac:dyDescent="0.15">
      <c r="A52" s="32" t="s">
        <v>53</v>
      </c>
      <c r="B52" s="33">
        <v>0</v>
      </c>
      <c r="C52" s="33">
        <v>0</v>
      </c>
      <c r="D52" s="33">
        <v>0</v>
      </c>
      <c r="E52" s="33">
        <v>0</v>
      </c>
      <c r="F52" s="33">
        <v>0</v>
      </c>
      <c r="G52" s="33">
        <v>0</v>
      </c>
      <c r="H52" s="33">
        <v>0</v>
      </c>
      <c r="I52" s="33">
        <v>0</v>
      </c>
      <c r="J52" s="33">
        <v>0</v>
      </c>
      <c r="K52" s="33">
        <v>0</v>
      </c>
      <c r="L52" s="33">
        <v>0</v>
      </c>
      <c r="M52" s="33">
        <v>7000</v>
      </c>
      <c r="N52" s="33">
        <v>20313.690476190473</v>
      </c>
      <c r="O52" s="33">
        <v>45184</v>
      </c>
      <c r="P52" s="33">
        <v>68072.184523809527</v>
      </c>
      <c r="Q52" s="33">
        <v>88113.543214285703</v>
      </c>
      <c r="R52" s="33">
        <v>107465.36023809524</v>
      </c>
      <c r="S52" s="33">
        <v>125468.34392857143</v>
      </c>
      <c r="T52" s="33">
        <v>137856.76095238095</v>
      </c>
      <c r="U52" s="33">
        <v>148480.17797619049</v>
      </c>
      <c r="V52" s="33">
        <v>158718.59499999997</v>
      </c>
    </row>
    <row r="53" spans="1:22" x14ac:dyDescent="0.15">
      <c r="A53" s="32" t="s">
        <v>56</v>
      </c>
      <c r="B53" s="33">
        <v>84516.461089347358</v>
      </c>
      <c r="C53" s="33">
        <v>219439.71421102682</v>
      </c>
      <c r="D53" s="33">
        <v>299105.28234978986</v>
      </c>
      <c r="E53" s="33">
        <v>319308.45815459505</v>
      </c>
      <c r="F53" s="33">
        <v>404154.9990795831</v>
      </c>
      <c r="G53" s="33">
        <v>496436.07594030461</v>
      </c>
      <c r="H53" s="33">
        <v>552071.21932843339</v>
      </c>
      <c r="I53" s="33">
        <v>554198.63535975572</v>
      </c>
      <c r="J53" s="33">
        <v>562731.92429840274</v>
      </c>
      <c r="K53" s="33">
        <v>636192.76217028836</v>
      </c>
      <c r="L53" s="33">
        <v>930</v>
      </c>
      <c r="M53" s="33">
        <v>41614.066429819279</v>
      </c>
      <c r="N53" s="33">
        <v>104042.37282692629</v>
      </c>
      <c r="O53" s="33">
        <v>154756.65117548054</v>
      </c>
      <c r="P53" s="33">
        <v>174687.44696227298</v>
      </c>
      <c r="Q53" s="33">
        <v>221633.04059134354</v>
      </c>
      <c r="R53" s="33">
        <v>263234.9908549221</v>
      </c>
      <c r="S53" s="33">
        <v>288244.8443319248</v>
      </c>
      <c r="T53" s="33">
        <v>286032.69599906733</v>
      </c>
      <c r="U53" s="33">
        <v>284404.52371721854</v>
      </c>
      <c r="V53" s="33">
        <v>309147.5654198972</v>
      </c>
    </row>
    <row r="54" spans="1:22" x14ac:dyDescent="0.15">
      <c r="A54" s="28"/>
      <c r="C54" s="2">
        <f>C53-B53</f>
        <v>134923.25312167947</v>
      </c>
      <c r="D54" s="2">
        <f t="shared" ref="D54:L54" si="5">D53-C53</f>
        <v>79665.568138763047</v>
      </c>
      <c r="E54" s="2">
        <f t="shared" si="5"/>
        <v>20203.175804805185</v>
      </c>
      <c r="F54" s="2">
        <f t="shared" si="5"/>
        <v>84846.540924988047</v>
      </c>
      <c r="G54" s="2">
        <f t="shared" si="5"/>
        <v>92281.076860721514</v>
      </c>
      <c r="H54" s="2">
        <f t="shared" si="5"/>
        <v>55635.143388128781</v>
      </c>
      <c r="I54" s="2">
        <f t="shared" si="5"/>
        <v>2127.4160313223256</v>
      </c>
      <c r="J54" s="2">
        <f t="shared" si="5"/>
        <v>8533.2889386470197</v>
      </c>
      <c r="K54" s="2">
        <f t="shared" si="5"/>
        <v>73460.837871885626</v>
      </c>
      <c r="L54" s="2">
        <f t="shared" si="5"/>
        <v>-635262.76217028836</v>
      </c>
      <c r="M54" s="2">
        <f>M53-L53</f>
        <v>40684.066429819279</v>
      </c>
      <c r="N54" s="2">
        <f t="shared" ref="N54:Q54" si="6">N53-M53</f>
        <v>62428.306397107015</v>
      </c>
      <c r="O54" s="2">
        <f t="shared" si="6"/>
        <v>50714.278348554246</v>
      </c>
      <c r="P54" s="2">
        <f t="shared" si="6"/>
        <v>19930.795786792442</v>
      </c>
      <c r="Q54" s="2">
        <f t="shared" si="6"/>
        <v>46945.593629070558</v>
      </c>
      <c r="R54" s="2">
        <f>R53-Q53</f>
        <v>41601.950263578561</v>
      </c>
      <c r="S54" s="2">
        <f t="shared" ref="S54:V54" si="7">S53-R53</f>
        <v>25009.853477002704</v>
      </c>
      <c r="T54" s="2">
        <f t="shared" si="7"/>
        <v>-2212.1483328574686</v>
      </c>
      <c r="U54" s="2">
        <f t="shared" si="7"/>
        <v>-1628.1722818487906</v>
      </c>
      <c r="V54" s="2">
        <f t="shared" si="7"/>
        <v>24743.04170267866</v>
      </c>
    </row>
    <row r="55" spans="1:22" x14ac:dyDescent="0.15">
      <c r="A55" s="28"/>
      <c r="C55" s="2"/>
      <c r="D55" s="2"/>
      <c r="E55" s="2"/>
      <c r="F55" s="2"/>
      <c r="G55" s="2"/>
      <c r="H55" s="2"/>
      <c r="I55" s="2"/>
      <c r="J55" s="2"/>
      <c r="K55" s="2"/>
      <c r="L55" s="2"/>
      <c r="M55" s="2"/>
      <c r="N55" s="2"/>
      <c r="O55" s="2"/>
      <c r="P55" s="2"/>
      <c r="Q55" s="2"/>
      <c r="S55" s="2"/>
      <c r="T55" s="2"/>
      <c r="U55" s="2"/>
      <c r="V55" s="2"/>
    </row>
    <row r="56" spans="1:22" ht="14" x14ac:dyDescent="0.15">
      <c r="A56" s="25" t="s">
        <v>99</v>
      </c>
      <c r="R56"/>
    </row>
    <row r="57" spans="1:22" ht="33" x14ac:dyDescent="0.15">
      <c r="A57" s="34"/>
      <c r="B57" s="26" t="s">
        <v>78</v>
      </c>
      <c r="C57" s="26" t="s">
        <v>79</v>
      </c>
      <c r="D57" s="26" t="s">
        <v>80</v>
      </c>
      <c r="E57" s="26" t="s">
        <v>81</v>
      </c>
      <c r="F57" s="26" t="s">
        <v>82</v>
      </c>
      <c r="G57" s="26" t="s">
        <v>83</v>
      </c>
      <c r="H57" s="26" t="s">
        <v>84</v>
      </c>
      <c r="I57" s="26" t="s">
        <v>85</v>
      </c>
      <c r="J57" s="26" t="s">
        <v>86</v>
      </c>
      <c r="K57" s="26" t="s">
        <v>87</v>
      </c>
      <c r="L57" s="27" t="s">
        <v>88</v>
      </c>
      <c r="M57" s="27" t="s">
        <v>89</v>
      </c>
      <c r="N57" s="27" t="s">
        <v>90</v>
      </c>
      <c r="O57" s="27" t="s">
        <v>91</v>
      </c>
      <c r="P57" s="27" t="s">
        <v>92</v>
      </c>
      <c r="Q57" s="27" t="s">
        <v>93</v>
      </c>
      <c r="R57" s="27" t="s">
        <v>94</v>
      </c>
      <c r="S57" s="27" t="s">
        <v>95</v>
      </c>
      <c r="T57" s="27" t="s">
        <v>96</v>
      </c>
      <c r="U57" s="27" t="s">
        <v>97</v>
      </c>
      <c r="V57" s="27" t="s">
        <v>98</v>
      </c>
    </row>
    <row r="58" spans="1:22" x14ac:dyDescent="0.15">
      <c r="A58" s="28" t="s">
        <v>21</v>
      </c>
      <c r="B58" s="35">
        <v>84411.875753987813</v>
      </c>
      <c r="C58" s="35">
        <v>198502.60470559617</v>
      </c>
      <c r="D58" s="35">
        <v>271198.98420935642</v>
      </c>
      <c r="E58" s="35">
        <v>314246.30266343802</v>
      </c>
      <c r="F58" s="35">
        <v>321514.72637068445</v>
      </c>
      <c r="G58" s="35">
        <v>324224.89290916984</v>
      </c>
      <c r="H58" s="35">
        <v>349640.83607405249</v>
      </c>
      <c r="I58" s="35">
        <v>350306.70821573632</v>
      </c>
      <c r="J58" s="35">
        <v>350972.58035742014</v>
      </c>
      <c r="K58" s="35">
        <v>351638.45249910397</v>
      </c>
      <c r="L58" s="36">
        <v>0</v>
      </c>
      <c r="M58" s="37">
        <v>34587.401765178831</v>
      </c>
      <c r="N58" s="37">
        <v>76276.250189499813</v>
      </c>
      <c r="O58" s="37">
        <v>99160.182427842767</v>
      </c>
      <c r="P58" s="37">
        <v>105901.74084628712</v>
      </c>
      <c r="Q58" s="37">
        <v>100166.12535053986</v>
      </c>
      <c r="R58" s="37">
        <v>92737.626695643106</v>
      </c>
      <c r="S58" s="37">
        <v>93586.226414349119</v>
      </c>
      <c r="T58" s="37">
        <v>84481.897156253923</v>
      </c>
      <c r="U58" s="37">
        <v>75350.067898158755</v>
      </c>
      <c r="V58" s="37">
        <v>66190.738640063573</v>
      </c>
    </row>
    <row r="59" spans="1:22" x14ac:dyDescent="0.15">
      <c r="A59" s="28" t="s">
        <v>24</v>
      </c>
      <c r="B59" s="35">
        <v>0</v>
      </c>
      <c r="C59" s="35">
        <v>1573.3219071720052</v>
      </c>
      <c r="D59" s="35">
        <v>5157.1724276585137</v>
      </c>
      <c r="E59" s="35">
        <v>5157.1724276585137</v>
      </c>
      <c r="F59" s="35">
        <v>37445.277269653765</v>
      </c>
      <c r="G59" s="35">
        <v>91516.079017902579</v>
      </c>
      <c r="H59" s="35">
        <v>98371.345776015834</v>
      </c>
      <c r="I59" s="35">
        <v>99301.345776015834</v>
      </c>
      <c r="J59" s="35">
        <v>102734.73647214595</v>
      </c>
      <c r="K59" s="35">
        <v>102734.73647214595</v>
      </c>
      <c r="L59" s="36">
        <v>0</v>
      </c>
      <c r="M59" s="37">
        <v>0</v>
      </c>
      <c r="N59" s="37">
        <v>553.34475949466128</v>
      </c>
      <c r="O59" s="37">
        <v>1864.0775723414861</v>
      </c>
      <c r="P59" s="37">
        <v>1730.8859056748192</v>
      </c>
      <c r="Q59" s="37">
        <v>13571.15288242956</v>
      </c>
      <c r="R59" s="37">
        <v>31481.068208826611</v>
      </c>
      <c r="S59" s="37">
        <v>31200.733200113336</v>
      </c>
      <c r="T59" s="37">
        <v>28484.831616179996</v>
      </c>
      <c r="U59" s="37">
        <v>26673.541419449906</v>
      </c>
      <c r="V59" s="37">
        <v>23479.600252183238</v>
      </c>
    </row>
    <row r="60" spans="1:22" x14ac:dyDescent="0.15">
      <c r="A60" s="28" t="s">
        <v>27</v>
      </c>
      <c r="B60" s="35">
        <v>0</v>
      </c>
      <c r="C60" s="35">
        <v>207.60536819514067</v>
      </c>
      <c r="D60" s="35">
        <v>379.84232470514326</v>
      </c>
      <c r="E60" s="35">
        <v>379.84232470514326</v>
      </c>
      <c r="F60" s="35">
        <v>379.84232470514326</v>
      </c>
      <c r="G60" s="35">
        <v>414.351949326365</v>
      </c>
      <c r="H60" s="35">
        <v>414.351949326365</v>
      </c>
      <c r="I60" s="35">
        <v>4666.9492201548537</v>
      </c>
      <c r="J60" s="35">
        <v>17650.307687608121</v>
      </c>
      <c r="K60" s="35">
        <v>18750.111863233713</v>
      </c>
      <c r="L60" s="36">
        <v>0</v>
      </c>
      <c r="M60" s="37">
        <v>0</v>
      </c>
      <c r="N60" s="37">
        <v>74.89463180485933</v>
      </c>
      <c r="O60" s="37">
        <v>131.6118419615234</v>
      </c>
      <c r="P60" s="37">
        <v>119.76392529485675</v>
      </c>
      <c r="Q60" s="37">
        <v>107.91600862819007</v>
      </c>
      <c r="R60" s="37">
        <v>108.64180067363503</v>
      </c>
      <c r="S60" s="37">
        <v>95.716800673635021</v>
      </c>
      <c r="T60" s="37">
        <v>1637.6945298451465</v>
      </c>
      <c r="U60" s="37">
        <v>7225.7027290585447</v>
      </c>
      <c r="V60" s="37">
        <v>7147.0985534329548</v>
      </c>
    </row>
    <row r="61" spans="1:22" x14ac:dyDescent="0.15">
      <c r="A61" s="28" t="s">
        <v>29</v>
      </c>
      <c r="B61" s="35">
        <v>0</v>
      </c>
      <c r="C61" s="35">
        <v>0</v>
      </c>
      <c r="D61" s="35">
        <v>0</v>
      </c>
      <c r="E61" s="35">
        <v>0</v>
      </c>
      <c r="F61" s="35">
        <v>0</v>
      </c>
      <c r="G61" s="35">
        <v>0</v>
      </c>
      <c r="H61" s="35">
        <v>0</v>
      </c>
      <c r="I61" s="35">
        <v>1389.1418969777917</v>
      </c>
      <c r="J61" s="35">
        <v>1389.1418969777917</v>
      </c>
      <c r="K61" s="35">
        <v>8913.7139734002812</v>
      </c>
      <c r="L61" s="36">
        <v>0</v>
      </c>
      <c r="M61" s="37">
        <v>0</v>
      </c>
      <c r="N61" s="37">
        <v>0</v>
      </c>
      <c r="O61" s="37">
        <v>0</v>
      </c>
      <c r="P61" s="37">
        <v>0</v>
      </c>
      <c r="Q61" s="37">
        <v>0</v>
      </c>
      <c r="R61" s="37">
        <v>0</v>
      </c>
      <c r="S61" s="37">
        <v>0</v>
      </c>
      <c r="T61" s="37">
        <v>760.02476968887504</v>
      </c>
      <c r="U61" s="37">
        <v>706.8581030222083</v>
      </c>
      <c r="V61" s="37">
        <v>3487.4526932663866</v>
      </c>
    </row>
    <row r="62" spans="1:22" x14ac:dyDescent="0.15">
      <c r="A62" s="28" t="s">
        <v>32</v>
      </c>
      <c r="B62" s="35">
        <v>0</v>
      </c>
      <c r="C62" s="35">
        <v>0</v>
      </c>
      <c r="D62" s="35">
        <v>1031</v>
      </c>
      <c r="E62" s="35">
        <v>1031</v>
      </c>
      <c r="F62" s="35">
        <v>8067.183363907975</v>
      </c>
      <c r="G62" s="35">
        <v>9528.7272535464781</v>
      </c>
      <c r="H62" s="35">
        <v>9633.3125889060302</v>
      </c>
      <c r="I62" s="35">
        <v>30422.401905212922</v>
      </c>
      <c r="J62" s="35">
        <v>32135.320159772604</v>
      </c>
      <c r="K62" s="35">
        <v>48174.660192263233</v>
      </c>
      <c r="L62" s="36">
        <v>0</v>
      </c>
      <c r="M62" s="37">
        <v>0</v>
      </c>
      <c r="N62" s="37">
        <v>0</v>
      </c>
      <c r="O62" s="37">
        <v>794</v>
      </c>
      <c r="P62" s="37">
        <v>739</v>
      </c>
      <c r="Q62" s="37">
        <v>3196.2988336933054</v>
      </c>
      <c r="R62" s="37">
        <v>3472.2549440548014</v>
      </c>
      <c r="S62" s="37">
        <v>3189.6019003619172</v>
      </c>
      <c r="T62" s="37">
        <v>10484.129344787061</v>
      </c>
      <c r="U62" s="37">
        <v>10286.788173560713</v>
      </c>
      <c r="V62" s="37">
        <v>18549.829808836188</v>
      </c>
    </row>
    <row r="63" spans="1:22" x14ac:dyDescent="0.15">
      <c r="A63" s="32" t="s">
        <v>35</v>
      </c>
      <c r="B63" s="38">
        <v>84411.875753987813</v>
      </c>
      <c r="C63" s="38">
        <v>200283.53198096331</v>
      </c>
      <c r="D63" s="38">
        <v>277766.99896172009</v>
      </c>
      <c r="E63" s="38">
        <v>320814.31741580169</v>
      </c>
      <c r="F63" s="38">
        <v>367407.02932895132</v>
      </c>
      <c r="G63" s="38">
        <v>425684.0511299452</v>
      </c>
      <c r="H63" s="38">
        <v>458059.84638830071</v>
      </c>
      <c r="I63" s="38">
        <v>486086.54701409768</v>
      </c>
      <c r="J63" s="38">
        <v>504882.08657392458</v>
      </c>
      <c r="K63" s="38">
        <v>530211.6750001472</v>
      </c>
      <c r="L63" s="38">
        <v>0</v>
      </c>
      <c r="M63" s="38">
        <v>34587.401765178831</v>
      </c>
      <c r="N63" s="38">
        <v>76904.489580799331</v>
      </c>
      <c r="O63" s="38">
        <v>101949.87184214577</v>
      </c>
      <c r="P63" s="38">
        <v>108491.3906772568</v>
      </c>
      <c r="Q63" s="38">
        <v>117041.49307529093</v>
      </c>
      <c r="R63" s="38">
        <v>127799.59164919815</v>
      </c>
      <c r="S63" s="38">
        <v>128072.278315498</v>
      </c>
      <c r="T63" s="38">
        <v>125848.57741675498</v>
      </c>
      <c r="U63" s="38">
        <v>120242.95832325012</v>
      </c>
      <c r="V63" s="38">
        <v>118854.71994778235</v>
      </c>
    </row>
    <row r="64" spans="1:22" x14ac:dyDescent="0.15">
      <c r="A64" s="28" t="s">
        <v>38</v>
      </c>
      <c r="B64" s="35">
        <v>0</v>
      </c>
      <c r="C64" s="35">
        <v>0</v>
      </c>
      <c r="D64" s="35">
        <v>0</v>
      </c>
      <c r="E64" s="35">
        <v>0</v>
      </c>
      <c r="F64" s="35">
        <v>0</v>
      </c>
      <c r="G64" s="35">
        <v>0</v>
      </c>
      <c r="H64" s="35">
        <v>0</v>
      </c>
      <c r="I64" s="35">
        <v>0</v>
      </c>
      <c r="J64" s="35">
        <v>0</v>
      </c>
      <c r="K64" s="35">
        <v>0</v>
      </c>
      <c r="L64" s="36">
        <v>0</v>
      </c>
      <c r="M64" s="37">
        <v>7000</v>
      </c>
      <c r="N64" s="37">
        <v>5250</v>
      </c>
      <c r="O64" s="37">
        <v>15475</v>
      </c>
      <c r="P64" s="37">
        <v>26882.875</v>
      </c>
      <c r="Q64" s="37">
        <v>37954.301249999997</v>
      </c>
      <c r="R64" s="37">
        <v>47292.852500000001</v>
      </c>
      <c r="S64" s="37">
        <v>56356.403749999998</v>
      </c>
      <c r="T64" s="37">
        <v>65144.955000000002</v>
      </c>
      <c r="U64" s="37">
        <v>73658.506250000006</v>
      </c>
      <c r="V64" s="37">
        <v>81897.057499999995</v>
      </c>
    </row>
    <row r="65" spans="1:22" x14ac:dyDescent="0.15">
      <c r="A65" s="28" t="s">
        <v>41</v>
      </c>
      <c r="B65" s="35">
        <v>0</v>
      </c>
      <c r="C65" s="35">
        <v>0</v>
      </c>
      <c r="D65" s="35">
        <v>0</v>
      </c>
      <c r="E65" s="35">
        <v>0</v>
      </c>
      <c r="F65" s="35">
        <v>0</v>
      </c>
      <c r="G65" s="35">
        <v>0</v>
      </c>
      <c r="H65" s="35">
        <v>0</v>
      </c>
      <c r="I65" s="35">
        <v>0</v>
      </c>
      <c r="J65" s="35">
        <v>0</v>
      </c>
      <c r="K65" s="35">
        <v>0</v>
      </c>
      <c r="L65" s="36">
        <v>0</v>
      </c>
      <c r="M65" s="37">
        <v>0</v>
      </c>
      <c r="N65" s="37">
        <v>11563.333333333332</v>
      </c>
      <c r="O65" s="37">
        <v>19542.75</v>
      </c>
      <c r="P65" s="37">
        <v>23803.416666666668</v>
      </c>
      <c r="Q65" s="37">
        <v>25981.206249999999</v>
      </c>
      <c r="R65" s="37">
        <v>25285.662499999999</v>
      </c>
      <c r="S65" s="37">
        <v>24590.118749999998</v>
      </c>
      <c r="T65" s="37">
        <v>23894.575000000001</v>
      </c>
      <c r="U65" s="37">
        <v>23199.03125</v>
      </c>
      <c r="V65" s="37">
        <v>22503.487499999999</v>
      </c>
    </row>
    <row r="66" spans="1:22" x14ac:dyDescent="0.15">
      <c r="A66" s="28" t="s">
        <v>44</v>
      </c>
      <c r="B66" s="35">
        <v>0</v>
      </c>
      <c r="C66" s="35">
        <v>0</v>
      </c>
      <c r="D66" s="35">
        <v>0</v>
      </c>
      <c r="E66" s="35">
        <v>0</v>
      </c>
      <c r="F66" s="35">
        <v>0</v>
      </c>
      <c r="G66" s="35">
        <v>0</v>
      </c>
      <c r="H66" s="35">
        <v>0</v>
      </c>
      <c r="I66" s="35">
        <v>0</v>
      </c>
      <c r="J66" s="35">
        <v>0</v>
      </c>
      <c r="K66" s="35">
        <v>0</v>
      </c>
      <c r="L66" s="36">
        <v>0</v>
      </c>
      <c r="M66" s="37">
        <v>0</v>
      </c>
      <c r="N66" s="37">
        <v>1137.8571428571427</v>
      </c>
      <c r="O66" s="37">
        <v>2415</v>
      </c>
      <c r="P66" s="37">
        <v>3623.3928571428569</v>
      </c>
      <c r="Q66" s="37">
        <v>3519.2857142857142</v>
      </c>
      <c r="R66" s="37">
        <v>3415.1785714285716</v>
      </c>
      <c r="S66" s="37">
        <v>3311.0714285714284</v>
      </c>
      <c r="T66" s="37">
        <v>3206.9642857142858</v>
      </c>
      <c r="U66" s="37">
        <v>3102.8571428571431</v>
      </c>
      <c r="V66" s="37">
        <v>2998.75</v>
      </c>
    </row>
    <row r="67" spans="1:22" x14ac:dyDescent="0.15">
      <c r="A67" s="28" t="s">
        <v>47</v>
      </c>
      <c r="B67" s="35">
        <v>0</v>
      </c>
      <c r="C67" s="35">
        <v>0</v>
      </c>
      <c r="D67" s="35">
        <v>0</v>
      </c>
      <c r="E67" s="35">
        <v>0</v>
      </c>
      <c r="F67" s="35">
        <v>0</v>
      </c>
      <c r="G67" s="35">
        <v>0</v>
      </c>
      <c r="H67" s="35">
        <v>0</v>
      </c>
      <c r="I67" s="35">
        <v>0</v>
      </c>
      <c r="J67" s="35">
        <v>0</v>
      </c>
      <c r="K67" s="35">
        <v>0</v>
      </c>
      <c r="L67" s="36">
        <v>0</v>
      </c>
      <c r="M67" s="37">
        <v>0</v>
      </c>
      <c r="N67" s="37">
        <v>0</v>
      </c>
      <c r="O67" s="37">
        <v>787.5</v>
      </c>
      <c r="P67" s="37">
        <v>2321.25</v>
      </c>
      <c r="Q67" s="37">
        <v>4863.75</v>
      </c>
      <c r="R67" s="37">
        <v>8360</v>
      </c>
      <c r="S67" s="37">
        <v>11302.5</v>
      </c>
      <c r="T67" s="37">
        <v>12364.6</v>
      </c>
      <c r="U67" s="37">
        <v>12046.7</v>
      </c>
      <c r="V67" s="37">
        <v>11728.8</v>
      </c>
    </row>
    <row r="68" spans="1:22" x14ac:dyDescent="0.15">
      <c r="A68" s="28" t="s">
        <v>50</v>
      </c>
      <c r="B68" s="35">
        <v>0</v>
      </c>
      <c r="C68" s="35">
        <v>0</v>
      </c>
      <c r="D68" s="35">
        <v>0</v>
      </c>
      <c r="E68" s="35">
        <v>0</v>
      </c>
      <c r="F68" s="35">
        <v>0</v>
      </c>
      <c r="G68" s="35">
        <v>0</v>
      </c>
      <c r="H68" s="35">
        <v>0</v>
      </c>
      <c r="I68" s="35">
        <v>0</v>
      </c>
      <c r="J68" s="35">
        <v>0</v>
      </c>
      <c r="K68" s="35">
        <v>0</v>
      </c>
      <c r="L68" s="36">
        <v>0</v>
      </c>
      <c r="M68" s="37">
        <v>0</v>
      </c>
      <c r="N68" s="37">
        <v>0</v>
      </c>
      <c r="O68" s="37">
        <v>0</v>
      </c>
      <c r="P68" s="37">
        <v>0</v>
      </c>
      <c r="Q68" s="37">
        <v>0</v>
      </c>
      <c r="R68" s="37">
        <v>0</v>
      </c>
      <c r="S68" s="37">
        <v>0</v>
      </c>
      <c r="T68" s="37">
        <v>0</v>
      </c>
      <c r="U68" s="37">
        <v>3086.666666666667</v>
      </c>
      <c r="V68" s="37">
        <v>6039.5</v>
      </c>
    </row>
    <row r="69" spans="1:22" x14ac:dyDescent="0.15">
      <c r="A69" s="32" t="s">
        <v>53</v>
      </c>
      <c r="B69" s="38">
        <v>0</v>
      </c>
      <c r="C69" s="38">
        <v>0</v>
      </c>
      <c r="D69" s="38">
        <v>0</v>
      </c>
      <c r="E69" s="38">
        <v>0</v>
      </c>
      <c r="F69" s="38">
        <v>0</v>
      </c>
      <c r="G69" s="38">
        <v>0</v>
      </c>
      <c r="H69" s="38">
        <v>0</v>
      </c>
      <c r="I69" s="38">
        <v>0</v>
      </c>
      <c r="J69" s="38">
        <v>0</v>
      </c>
      <c r="K69" s="38">
        <v>0</v>
      </c>
      <c r="L69" s="38">
        <v>0</v>
      </c>
      <c r="M69" s="38">
        <v>7000</v>
      </c>
      <c r="N69" s="38">
        <v>17951.190476190473</v>
      </c>
      <c r="O69" s="38">
        <v>38220.25</v>
      </c>
      <c r="P69" s="38">
        <v>56630.934523809527</v>
      </c>
      <c r="Q69" s="38">
        <v>72318.543214285703</v>
      </c>
      <c r="R69" s="38">
        <v>84353.693571428565</v>
      </c>
      <c r="S69" s="38">
        <v>95560.093928571427</v>
      </c>
      <c r="T69" s="38">
        <v>104611.09428571429</v>
      </c>
      <c r="U69" s="38">
        <v>115093.76130952382</v>
      </c>
      <c r="V69" s="38">
        <v>125167.595</v>
      </c>
    </row>
    <row r="70" spans="1:22" x14ac:dyDescent="0.15">
      <c r="A70" s="32" t="s">
        <v>56</v>
      </c>
      <c r="B70" s="38">
        <v>84411.875753987813</v>
      </c>
      <c r="C70" s="38">
        <v>200283.53198096331</v>
      </c>
      <c r="D70" s="38">
        <v>277766.99896172009</v>
      </c>
      <c r="E70" s="38">
        <v>320814.31741580169</v>
      </c>
      <c r="F70" s="38">
        <v>367407.02932895132</v>
      </c>
      <c r="G70" s="38">
        <v>425684.0511299452</v>
      </c>
      <c r="H70" s="38">
        <v>458059.84638830071</v>
      </c>
      <c r="I70" s="38">
        <v>486086.54701409768</v>
      </c>
      <c r="J70" s="38">
        <v>504882.08657392458</v>
      </c>
      <c r="K70" s="38">
        <v>530211.6750001472</v>
      </c>
      <c r="L70" s="38">
        <v>0</v>
      </c>
      <c r="M70" s="38">
        <v>41587.401765178831</v>
      </c>
      <c r="N70" s="38">
        <v>94855.680056989804</v>
      </c>
      <c r="O70" s="38">
        <v>140170.12184214577</v>
      </c>
      <c r="P70" s="38">
        <v>165122.32520106633</v>
      </c>
      <c r="Q70" s="38">
        <v>189360.03628957662</v>
      </c>
      <c r="R70" s="38">
        <v>212153.28522062671</v>
      </c>
      <c r="S70" s="38">
        <v>223632.37224406941</v>
      </c>
      <c r="T70" s="38">
        <v>230459.67170246929</v>
      </c>
      <c r="U70" s="38">
        <v>235336.71963277395</v>
      </c>
      <c r="V70" s="38">
        <v>244022.31494778235</v>
      </c>
    </row>
    <row r="71" spans="1:22" x14ac:dyDescent="0.15">
      <c r="A71" s="34"/>
      <c r="C71" s="2">
        <f>C70-B70</f>
        <v>115871.65622697549</v>
      </c>
      <c r="D71" s="2">
        <f t="shared" ref="D71:V71" si="8">D70-C70</f>
        <v>77483.466980756784</v>
      </c>
      <c r="E71" s="2">
        <f t="shared" si="8"/>
        <v>43047.3184540816</v>
      </c>
      <c r="F71" s="2">
        <f t="shared" si="8"/>
        <v>46592.711913149629</v>
      </c>
      <c r="G71" s="2">
        <f t="shared" si="8"/>
        <v>58277.021800993884</v>
      </c>
      <c r="H71" s="2">
        <f t="shared" si="8"/>
        <v>32375.795258355502</v>
      </c>
      <c r="I71" s="2">
        <f t="shared" si="8"/>
        <v>28026.700625796977</v>
      </c>
      <c r="J71" s="2">
        <f t="shared" si="8"/>
        <v>18795.539559826895</v>
      </c>
      <c r="K71" s="2">
        <f t="shared" si="8"/>
        <v>25329.588426222617</v>
      </c>
      <c r="L71" s="2">
        <f t="shared" si="8"/>
        <v>-530211.6750001472</v>
      </c>
      <c r="M71" s="2">
        <f>M70-L70</f>
        <v>41587.401765178831</v>
      </c>
      <c r="N71" s="2">
        <f t="shared" si="8"/>
        <v>53268.278291810973</v>
      </c>
      <c r="O71" s="2">
        <f t="shared" si="8"/>
        <v>45314.44178515597</v>
      </c>
      <c r="P71" s="2">
        <f t="shared" si="8"/>
        <v>24952.203358920553</v>
      </c>
      <c r="Q71" s="2">
        <f t="shared" si="8"/>
        <v>24237.711088510288</v>
      </c>
      <c r="R71" s="2">
        <f>R70-Q70</f>
        <v>22793.248931050097</v>
      </c>
      <c r="S71" s="2">
        <f t="shared" si="8"/>
        <v>11479.087023442698</v>
      </c>
      <c r="T71" s="2">
        <f t="shared" si="8"/>
        <v>6827.2994583998807</v>
      </c>
      <c r="U71" s="2">
        <f t="shared" si="8"/>
        <v>4877.0479303046595</v>
      </c>
      <c r="V71" s="2">
        <f t="shared" si="8"/>
        <v>8685.5953150083951</v>
      </c>
    </row>
    <row r="72" spans="1:22" x14ac:dyDescent="0.15">
      <c r="R72"/>
    </row>
    <row r="73" spans="1:22" ht="14" x14ac:dyDescent="0.15">
      <c r="A73" s="25" t="s">
        <v>100</v>
      </c>
      <c r="R73"/>
    </row>
    <row r="74" spans="1:22" ht="33" x14ac:dyDescent="0.15">
      <c r="B74" s="26" t="s">
        <v>78</v>
      </c>
      <c r="C74" s="26" t="s">
        <v>79</v>
      </c>
      <c r="D74" s="26" t="s">
        <v>80</v>
      </c>
      <c r="E74" s="26" t="s">
        <v>81</v>
      </c>
      <c r="F74" s="26" t="s">
        <v>82</v>
      </c>
      <c r="G74" s="26" t="s">
        <v>83</v>
      </c>
      <c r="H74" s="26" t="s">
        <v>84</v>
      </c>
      <c r="I74" s="26" t="s">
        <v>85</v>
      </c>
      <c r="J74" s="26" t="s">
        <v>86</v>
      </c>
      <c r="K74" s="26" t="s">
        <v>87</v>
      </c>
      <c r="L74" s="27" t="s">
        <v>88</v>
      </c>
      <c r="M74" s="27" t="s">
        <v>89</v>
      </c>
      <c r="N74" s="27" t="s">
        <v>90</v>
      </c>
      <c r="O74" s="27" t="s">
        <v>91</v>
      </c>
      <c r="P74" s="27" t="s">
        <v>92</v>
      </c>
      <c r="Q74" s="27" t="s">
        <v>93</v>
      </c>
      <c r="R74" s="27" t="s">
        <v>94</v>
      </c>
      <c r="S74" s="27" t="s">
        <v>95</v>
      </c>
      <c r="T74" s="27" t="s">
        <v>96</v>
      </c>
      <c r="U74" s="27" t="s">
        <v>97</v>
      </c>
      <c r="V74" s="27" t="s">
        <v>98</v>
      </c>
    </row>
    <row r="75" spans="1:22" ht="26" customHeight="1" x14ac:dyDescent="0.15">
      <c r="A75" s="28" t="s">
        <v>21</v>
      </c>
      <c r="B75" s="35">
        <f t="shared" ref="B75:V75" si="9">B58-B41</f>
        <v>0</v>
      </c>
      <c r="C75" s="35">
        <f t="shared" si="9"/>
        <v>0</v>
      </c>
      <c r="D75" s="35">
        <f t="shared" si="9"/>
        <v>-342.84472054068465</v>
      </c>
      <c r="E75" s="35">
        <f t="shared" si="9"/>
        <v>24407.22630265815</v>
      </c>
      <c r="F75" s="35">
        <f t="shared" si="9"/>
        <v>24064.381582117465</v>
      </c>
      <c r="G75" s="35">
        <f t="shared" si="9"/>
        <v>24064.381582117465</v>
      </c>
      <c r="H75" s="35">
        <f t="shared" si="9"/>
        <v>48471.607884775614</v>
      </c>
      <c r="I75" s="35">
        <f t="shared" si="9"/>
        <v>48471.607884775614</v>
      </c>
      <c r="J75" s="35">
        <f t="shared" si="9"/>
        <v>48128.76316423493</v>
      </c>
      <c r="K75" s="35">
        <f t="shared" si="9"/>
        <v>48128.76316423493</v>
      </c>
      <c r="L75" s="36">
        <f t="shared" si="9"/>
        <v>0</v>
      </c>
      <c r="M75" s="37">
        <f t="shared" si="9"/>
        <v>0</v>
      </c>
      <c r="N75" s="37">
        <f t="shared" si="9"/>
        <v>0</v>
      </c>
      <c r="O75" s="37">
        <f t="shared" si="9"/>
        <v>-127.98861279264383</v>
      </c>
      <c r="P75" s="37">
        <f t="shared" si="9"/>
        <v>9032.7111973418505</v>
      </c>
      <c r="Q75" s="37">
        <f t="shared" si="9"/>
        <v>8139.9934178825351</v>
      </c>
      <c r="R75" s="37">
        <f t="shared" si="9"/>
        <v>7386.0350845491921</v>
      </c>
      <c r="S75" s="37">
        <f t="shared" si="9"/>
        <v>15654.017115224386</v>
      </c>
      <c r="T75" s="37">
        <f t="shared" si="9"/>
        <v>14135.329615224386</v>
      </c>
      <c r="U75" s="37">
        <f t="shared" si="9"/>
        <v>12488.653502431742</v>
      </c>
      <c r="V75" s="37">
        <f t="shared" si="9"/>
        <v>10980.736835765063</v>
      </c>
    </row>
    <row r="76" spans="1:22" x14ac:dyDescent="0.15">
      <c r="A76" s="28" t="s">
        <v>24</v>
      </c>
      <c r="B76" s="35">
        <f t="shared" ref="B76:V76" si="10">B59-B42</f>
        <v>0</v>
      </c>
      <c r="C76" s="35">
        <f t="shared" si="10"/>
        <v>-929.99999999999977</v>
      </c>
      <c r="D76" s="35">
        <f t="shared" si="10"/>
        <v>-930</v>
      </c>
      <c r="E76" s="35">
        <f t="shared" si="10"/>
        <v>-930</v>
      </c>
      <c r="F76" s="35">
        <f t="shared" si="10"/>
        <v>-30883.848100661366</v>
      </c>
      <c r="G76" s="35">
        <f t="shared" si="10"/>
        <v>-51638.860223870317</v>
      </c>
      <c r="H76" s="35">
        <f t="shared" si="10"/>
        <v>-51638.860223870317</v>
      </c>
      <c r="I76" s="35">
        <f t="shared" si="10"/>
        <v>-50708.860223870317</v>
      </c>
      <c r="J76" s="35">
        <f t="shared" si="10"/>
        <v>-47275.469527740206</v>
      </c>
      <c r="K76" s="35">
        <f t="shared" si="10"/>
        <v>-47275.469527740206</v>
      </c>
      <c r="L76" s="36">
        <f t="shared" si="10"/>
        <v>-930</v>
      </c>
      <c r="M76" s="37">
        <f t="shared" si="10"/>
        <v>0</v>
      </c>
      <c r="N76" s="37">
        <f t="shared" si="10"/>
        <v>-341.25</v>
      </c>
      <c r="O76" s="37">
        <f t="shared" si="10"/>
        <v>-312.16875000000005</v>
      </c>
      <c r="P76" s="37">
        <f t="shared" si="10"/>
        <v>-283.08750000000009</v>
      </c>
      <c r="Q76" s="37">
        <f t="shared" si="10"/>
        <v>-14955.824816005286</v>
      </c>
      <c r="R76" s="37">
        <f t="shared" si="10"/>
        <v>-20749.62741838576</v>
      </c>
      <c r="S76" s="37">
        <f t="shared" si="10"/>
        <v>-19260.800335052405</v>
      </c>
      <c r="T76" s="37">
        <f t="shared" si="10"/>
        <v>-17430.723251719101</v>
      </c>
      <c r="U76" s="37">
        <f t="shared" si="10"/>
        <v>-14696.034781182523</v>
      </c>
      <c r="V76" s="37">
        <f t="shared" si="10"/>
        <v>-13343.997281182525</v>
      </c>
    </row>
    <row r="77" spans="1:22" x14ac:dyDescent="0.15">
      <c r="A77" s="28" t="s">
        <v>27</v>
      </c>
      <c r="B77" s="35">
        <f t="shared" ref="B77:V77" si="11">B60-B43</f>
        <v>0</v>
      </c>
      <c r="C77" s="35">
        <f t="shared" si="11"/>
        <v>-4252.5972708284889</v>
      </c>
      <c r="D77" s="35">
        <f t="shared" si="11"/>
        <v>-4252.5972708284889</v>
      </c>
      <c r="E77" s="35">
        <f t="shared" si="11"/>
        <v>-4252.5972708284889</v>
      </c>
      <c r="F77" s="35">
        <f t="shared" si="11"/>
        <v>-4252.5972708284889</v>
      </c>
      <c r="G77" s="35">
        <f t="shared" si="11"/>
        <v>-17235.955738281755</v>
      </c>
      <c r="H77" s="35">
        <f t="shared" si="11"/>
        <v>-18335.759913907346</v>
      </c>
      <c r="I77" s="35">
        <f t="shared" si="11"/>
        <v>-14083.16264307886</v>
      </c>
      <c r="J77" s="35">
        <f t="shared" si="11"/>
        <v>-1099.8041756255916</v>
      </c>
      <c r="K77" s="35">
        <f t="shared" si="11"/>
        <v>0</v>
      </c>
      <c r="L77" s="36">
        <f t="shared" si="11"/>
        <v>0</v>
      </c>
      <c r="M77" s="37">
        <f t="shared" si="11"/>
        <v>0</v>
      </c>
      <c r="N77" s="37">
        <f t="shared" si="11"/>
        <v>-1554.9027291715113</v>
      </c>
      <c r="O77" s="37">
        <f t="shared" si="11"/>
        <v>-1421.5277291715113</v>
      </c>
      <c r="P77" s="37">
        <f t="shared" si="11"/>
        <v>-1288.1527291715111</v>
      </c>
      <c r="Q77" s="37">
        <f t="shared" si="11"/>
        <v>-1154.7777291715115</v>
      </c>
      <c r="R77" s="37">
        <f t="shared" si="11"/>
        <v>-6755.7109283849095</v>
      </c>
      <c r="S77" s="37">
        <f t="shared" si="11"/>
        <v>-6690.0317527593197</v>
      </c>
      <c r="T77" s="37">
        <f t="shared" si="11"/>
        <v>-4628.1206902544736</v>
      </c>
      <c r="U77" s="37">
        <f t="shared" si="11"/>
        <v>1479.820842292258</v>
      </c>
      <c r="V77" s="37">
        <f t="shared" si="11"/>
        <v>1921.1500000000005</v>
      </c>
    </row>
    <row r="78" spans="1:22" x14ac:dyDescent="0.15">
      <c r="A78" s="28" t="s">
        <v>29</v>
      </c>
      <c r="B78" s="35">
        <f t="shared" ref="B78:V78" si="12">B61-B44</f>
        <v>0</v>
      </c>
      <c r="C78" s="35">
        <f t="shared" si="12"/>
        <v>-685.29768547644028</v>
      </c>
      <c r="D78" s="35">
        <f t="shared" si="12"/>
        <v>-811.63586838234346</v>
      </c>
      <c r="E78" s="35">
        <f t="shared" si="12"/>
        <v>-1389.1418969777917</v>
      </c>
      <c r="F78" s="35">
        <f t="shared" si="12"/>
        <v>-1389.1418969777917</v>
      </c>
      <c r="G78" s="35">
        <f t="shared" si="12"/>
        <v>-1389.1418969777917</v>
      </c>
      <c r="H78" s="35">
        <f t="shared" si="12"/>
        <v>-1389.1418969777917</v>
      </c>
      <c r="I78" s="35">
        <f t="shared" si="12"/>
        <v>0</v>
      </c>
      <c r="J78" s="35">
        <f t="shared" si="12"/>
        <v>-7524.5720764224898</v>
      </c>
      <c r="K78" s="35">
        <f t="shared" si="12"/>
        <v>0</v>
      </c>
      <c r="L78" s="36">
        <f t="shared" si="12"/>
        <v>0</v>
      </c>
      <c r="M78" s="37">
        <f t="shared" si="12"/>
        <v>0</v>
      </c>
      <c r="N78" s="37">
        <f t="shared" si="12"/>
        <v>-256.36898119022635</v>
      </c>
      <c r="O78" s="37">
        <f t="shared" si="12"/>
        <v>-738.4831030222083</v>
      </c>
      <c r="P78" s="37">
        <f t="shared" si="12"/>
        <v>-685.31643635554155</v>
      </c>
      <c r="Q78" s="37">
        <f t="shared" si="12"/>
        <v>-632.14976968887504</v>
      </c>
      <c r="R78" s="37">
        <f t="shared" si="12"/>
        <v>-578.9831030222083</v>
      </c>
      <c r="S78" s="37">
        <f t="shared" si="12"/>
        <v>-525.81643635554167</v>
      </c>
      <c r="T78" s="37">
        <f t="shared" si="12"/>
        <v>287.37500000000006</v>
      </c>
      <c r="U78" s="37">
        <f t="shared" si="12"/>
        <v>-2546.3862569108451</v>
      </c>
      <c r="V78" s="37">
        <f t="shared" si="12"/>
        <v>524.33333333333258</v>
      </c>
    </row>
    <row r="79" spans="1:22" x14ac:dyDescent="0.15">
      <c r="A79" s="28" t="s">
        <v>32</v>
      </c>
      <c r="B79" s="35">
        <f t="shared" ref="B79:V79" si="13">B62-B45</f>
        <v>-104.58533535955061</v>
      </c>
      <c r="C79" s="35">
        <f t="shared" si="13"/>
        <v>-13288.287273758588</v>
      </c>
      <c r="D79" s="35">
        <f t="shared" si="13"/>
        <v>-15001.205528318269</v>
      </c>
      <c r="E79" s="35">
        <f t="shared" si="13"/>
        <v>-16329.627873645204</v>
      </c>
      <c r="F79" s="35">
        <f t="shared" si="13"/>
        <v>-24286.7640642816</v>
      </c>
      <c r="G79" s="35">
        <f t="shared" si="13"/>
        <v>-24552.448533346986</v>
      </c>
      <c r="H79" s="35">
        <f t="shared" si="13"/>
        <v>-71119.218790152838</v>
      </c>
      <c r="I79" s="35">
        <f t="shared" si="13"/>
        <v>-51791.67336348445</v>
      </c>
      <c r="J79" s="35">
        <f t="shared" si="13"/>
        <v>-50078.755108924772</v>
      </c>
      <c r="K79" s="35">
        <f t="shared" si="13"/>
        <v>-106834.38080663592</v>
      </c>
      <c r="L79" s="36">
        <f t="shared" si="13"/>
        <v>0</v>
      </c>
      <c r="M79" s="37">
        <f t="shared" si="13"/>
        <v>-26.664664640449374</v>
      </c>
      <c r="N79" s="37">
        <f t="shared" si="13"/>
        <v>-4671.6710595747463</v>
      </c>
      <c r="O79" s="37">
        <f t="shared" si="13"/>
        <v>-5022.6111383483967</v>
      </c>
      <c r="P79" s="37">
        <f t="shared" si="13"/>
        <v>-4900.0262930214649</v>
      </c>
      <c r="Q79" s="37">
        <f t="shared" si="13"/>
        <v>-7875.2454047837819</v>
      </c>
      <c r="R79" s="37">
        <f t="shared" si="13"/>
        <v>-7271.7526023850605</v>
      </c>
      <c r="S79" s="37">
        <f t="shared" si="13"/>
        <v>-23881.590678912504</v>
      </c>
      <c r="T79" s="37">
        <f t="shared" si="13"/>
        <v>-14691.218303182182</v>
      </c>
      <c r="U79" s="37">
        <f t="shared" si="13"/>
        <v>-12407.44072440854</v>
      </c>
      <c r="V79" s="37">
        <f t="shared" si="13"/>
        <v>-31656.473360030741</v>
      </c>
    </row>
    <row r="80" spans="1:22" x14ac:dyDescent="0.15">
      <c r="A80" s="32" t="s">
        <v>35</v>
      </c>
      <c r="B80" s="38">
        <f t="shared" ref="B80:V80" si="14">B63-B46</f>
        <v>-104.58533535954484</v>
      </c>
      <c r="C80" s="38">
        <f t="shared" si="14"/>
        <v>-19156.18223006351</v>
      </c>
      <c r="D80" s="38">
        <f t="shared" si="14"/>
        <v>-21338.283388069773</v>
      </c>
      <c r="E80" s="38">
        <f t="shared" si="14"/>
        <v>1505.8592612066423</v>
      </c>
      <c r="F80" s="38">
        <f t="shared" si="14"/>
        <v>-36747.969750631775</v>
      </c>
      <c r="G80" s="38">
        <f t="shared" si="14"/>
        <v>-70752.024810359406</v>
      </c>
      <c r="H80" s="38">
        <f t="shared" si="14"/>
        <v>-94011.372940132685</v>
      </c>
      <c r="I80" s="38">
        <f t="shared" si="14"/>
        <v>-68112.088345658034</v>
      </c>
      <c r="J80" s="38">
        <f t="shared" si="14"/>
        <v>-57849.837724478159</v>
      </c>
      <c r="K80" s="38">
        <f t="shared" si="14"/>
        <v>-105981.08717014117</v>
      </c>
      <c r="L80" s="38">
        <f t="shared" si="14"/>
        <v>-930</v>
      </c>
      <c r="M80" s="38">
        <f t="shared" si="14"/>
        <v>-26.664664640447882</v>
      </c>
      <c r="N80" s="38">
        <f t="shared" si="14"/>
        <v>-6824.1927699364896</v>
      </c>
      <c r="O80" s="38">
        <f t="shared" si="14"/>
        <v>-7622.7793333347654</v>
      </c>
      <c r="P80" s="38">
        <f t="shared" si="14"/>
        <v>1876.1282387933315</v>
      </c>
      <c r="Q80" s="38">
        <f t="shared" si="14"/>
        <v>-16478.004301766894</v>
      </c>
      <c r="R80" s="38">
        <f t="shared" si="14"/>
        <v>-27970.03896762873</v>
      </c>
      <c r="S80" s="38">
        <f t="shared" si="14"/>
        <v>-34704.222087855393</v>
      </c>
      <c r="T80" s="38">
        <f t="shared" si="14"/>
        <v>-22327.357629931401</v>
      </c>
      <c r="U80" s="38">
        <f t="shared" si="14"/>
        <v>-15681.387417777936</v>
      </c>
      <c r="V80" s="38">
        <f t="shared" si="14"/>
        <v>-31574.250472114887</v>
      </c>
    </row>
    <row r="81" spans="1:22" ht="31.25" customHeight="1" x14ac:dyDescent="0.15">
      <c r="A81" s="28" t="s">
        <v>38</v>
      </c>
      <c r="B81" s="35">
        <f t="shared" ref="B81:V81" si="15">B64-B47</f>
        <v>0</v>
      </c>
      <c r="C81" s="35">
        <f t="shared" si="15"/>
        <v>0</v>
      </c>
      <c r="D81" s="35">
        <f t="shared" si="15"/>
        <v>0</v>
      </c>
      <c r="E81" s="35">
        <f t="shared" si="15"/>
        <v>0</v>
      </c>
      <c r="F81" s="35">
        <f t="shared" si="15"/>
        <v>0</v>
      </c>
      <c r="G81" s="35">
        <f t="shared" si="15"/>
        <v>0</v>
      </c>
      <c r="H81" s="35">
        <f t="shared" si="15"/>
        <v>0</v>
      </c>
      <c r="I81" s="35">
        <f t="shared" si="15"/>
        <v>0</v>
      </c>
      <c r="J81" s="35">
        <f t="shared" si="15"/>
        <v>0</v>
      </c>
      <c r="K81" s="35">
        <f t="shared" si="15"/>
        <v>0</v>
      </c>
      <c r="L81" s="36">
        <f t="shared" si="15"/>
        <v>0</v>
      </c>
      <c r="M81" s="37">
        <f t="shared" si="15"/>
        <v>0</v>
      </c>
      <c r="N81" s="37">
        <f t="shared" si="15"/>
        <v>-2100</v>
      </c>
      <c r="O81" s="37">
        <f t="shared" si="15"/>
        <v>-6190</v>
      </c>
      <c r="P81" s="37">
        <f t="shared" si="15"/>
        <v>-10170</v>
      </c>
      <c r="Q81" s="37">
        <f t="shared" si="15"/>
        <v>-14040</v>
      </c>
      <c r="R81" s="37">
        <f t="shared" si="15"/>
        <v>-17800</v>
      </c>
      <c r="S81" s="37">
        <f t="shared" si="15"/>
        <v>-21450</v>
      </c>
      <c r="T81" s="37">
        <f t="shared" si="15"/>
        <v>-24990</v>
      </c>
      <c r="U81" s="37">
        <f t="shared" si="15"/>
        <v>-28420</v>
      </c>
      <c r="V81" s="37">
        <f t="shared" si="15"/>
        <v>-31740</v>
      </c>
    </row>
    <row r="82" spans="1:22" x14ac:dyDescent="0.15">
      <c r="A82" s="28" t="s">
        <v>41</v>
      </c>
      <c r="B82" s="35">
        <f t="shared" ref="B82:V82" si="16">B65-B48</f>
        <v>0</v>
      </c>
      <c r="C82" s="35">
        <f t="shared" si="16"/>
        <v>0</v>
      </c>
      <c r="D82" s="35">
        <f t="shared" si="16"/>
        <v>0</v>
      </c>
      <c r="E82" s="35">
        <f t="shared" si="16"/>
        <v>0</v>
      </c>
      <c r="F82" s="35">
        <f t="shared" si="16"/>
        <v>0</v>
      </c>
      <c r="G82" s="35">
        <f t="shared" si="16"/>
        <v>0</v>
      </c>
      <c r="H82" s="35">
        <f t="shared" si="16"/>
        <v>0</v>
      </c>
      <c r="I82" s="35">
        <f t="shared" si="16"/>
        <v>0</v>
      </c>
      <c r="J82" s="35">
        <f t="shared" si="16"/>
        <v>0</v>
      </c>
      <c r="K82" s="35">
        <f t="shared" si="16"/>
        <v>0</v>
      </c>
      <c r="L82" s="36">
        <f t="shared" si="16"/>
        <v>0</v>
      </c>
      <c r="M82" s="37">
        <f t="shared" si="16"/>
        <v>0</v>
      </c>
      <c r="N82" s="37">
        <f t="shared" si="16"/>
        <v>-262.5</v>
      </c>
      <c r="O82" s="37">
        <f t="shared" si="16"/>
        <v>-511.25</v>
      </c>
      <c r="P82" s="37">
        <f t="shared" si="16"/>
        <v>-497.5</v>
      </c>
      <c r="Q82" s="37">
        <f t="shared" si="16"/>
        <v>-483.75</v>
      </c>
      <c r="R82" s="37">
        <f t="shared" si="16"/>
        <v>-470</v>
      </c>
      <c r="S82" s="37">
        <f t="shared" si="16"/>
        <v>-456.25</v>
      </c>
      <c r="T82" s="37">
        <f t="shared" si="16"/>
        <v>-442.5</v>
      </c>
      <c r="U82" s="37">
        <f t="shared" si="16"/>
        <v>-428.75</v>
      </c>
      <c r="V82" s="37">
        <f t="shared" si="16"/>
        <v>-415</v>
      </c>
    </row>
    <row r="83" spans="1:22" x14ac:dyDescent="0.15">
      <c r="A83" s="28" t="s">
        <v>44</v>
      </c>
      <c r="B83" s="35">
        <f t="shared" ref="B83:V83" si="17">B66-B49</f>
        <v>0</v>
      </c>
      <c r="C83" s="35">
        <f t="shared" si="17"/>
        <v>0</v>
      </c>
      <c r="D83" s="35">
        <f t="shared" si="17"/>
        <v>0</v>
      </c>
      <c r="E83" s="35">
        <f t="shared" si="17"/>
        <v>0</v>
      </c>
      <c r="F83" s="35">
        <f t="shared" si="17"/>
        <v>0</v>
      </c>
      <c r="G83" s="35">
        <f t="shared" si="17"/>
        <v>0</v>
      </c>
      <c r="H83" s="35">
        <f t="shared" si="17"/>
        <v>0</v>
      </c>
      <c r="I83" s="35">
        <f t="shared" si="17"/>
        <v>0</v>
      </c>
      <c r="J83" s="35">
        <f t="shared" si="17"/>
        <v>0</v>
      </c>
      <c r="K83" s="35">
        <f t="shared" si="17"/>
        <v>0</v>
      </c>
      <c r="L83" s="36">
        <f t="shared" si="17"/>
        <v>0</v>
      </c>
      <c r="M83" s="37">
        <f t="shared" si="17"/>
        <v>0</v>
      </c>
      <c r="N83" s="37">
        <f t="shared" si="17"/>
        <v>0</v>
      </c>
      <c r="O83" s="37">
        <f t="shared" si="17"/>
        <v>0</v>
      </c>
      <c r="P83" s="37">
        <f t="shared" si="17"/>
        <v>0</v>
      </c>
      <c r="Q83" s="37">
        <f t="shared" si="17"/>
        <v>0</v>
      </c>
      <c r="R83" s="37">
        <f t="shared" si="17"/>
        <v>0</v>
      </c>
      <c r="S83" s="37">
        <f t="shared" si="17"/>
        <v>0</v>
      </c>
      <c r="T83" s="37">
        <f t="shared" si="17"/>
        <v>0</v>
      </c>
      <c r="U83" s="37">
        <f t="shared" si="17"/>
        <v>0</v>
      </c>
      <c r="V83" s="37">
        <f t="shared" si="17"/>
        <v>0</v>
      </c>
    </row>
    <row r="84" spans="1:22" x14ac:dyDescent="0.15">
      <c r="A84" s="28" t="s">
        <v>47</v>
      </c>
      <c r="B84" s="35">
        <f t="shared" ref="B84:V84" si="18">B67-B50</f>
        <v>0</v>
      </c>
      <c r="C84" s="35">
        <f t="shared" si="18"/>
        <v>0</v>
      </c>
      <c r="D84" s="35">
        <f t="shared" si="18"/>
        <v>0</v>
      </c>
      <c r="E84" s="35">
        <f t="shared" si="18"/>
        <v>0</v>
      </c>
      <c r="F84" s="35">
        <f t="shared" si="18"/>
        <v>0</v>
      </c>
      <c r="G84" s="35">
        <f t="shared" si="18"/>
        <v>0</v>
      </c>
      <c r="H84" s="35">
        <f t="shared" si="18"/>
        <v>0</v>
      </c>
      <c r="I84" s="35">
        <f t="shared" si="18"/>
        <v>0</v>
      </c>
      <c r="J84" s="35">
        <f t="shared" si="18"/>
        <v>0</v>
      </c>
      <c r="K84" s="35">
        <f t="shared" si="18"/>
        <v>0</v>
      </c>
      <c r="L84" s="36">
        <f t="shared" si="18"/>
        <v>0</v>
      </c>
      <c r="M84" s="37">
        <f t="shared" si="18"/>
        <v>0</v>
      </c>
      <c r="N84" s="37">
        <f t="shared" si="18"/>
        <v>0</v>
      </c>
      <c r="O84" s="37">
        <f t="shared" si="18"/>
        <v>-262.5</v>
      </c>
      <c r="P84" s="37">
        <f t="shared" si="18"/>
        <v>-773.75</v>
      </c>
      <c r="Q84" s="37">
        <f t="shared" si="18"/>
        <v>-1271.25</v>
      </c>
      <c r="R84" s="37">
        <f t="shared" si="18"/>
        <v>-1755</v>
      </c>
      <c r="S84" s="37">
        <f t="shared" si="18"/>
        <v>-1962.5</v>
      </c>
      <c r="T84" s="37">
        <f t="shared" si="18"/>
        <v>-1907.5</v>
      </c>
      <c r="U84" s="37">
        <f t="shared" si="18"/>
        <v>-1852.5</v>
      </c>
      <c r="V84" s="37">
        <f t="shared" si="18"/>
        <v>-1797.5</v>
      </c>
    </row>
    <row r="85" spans="1:22" x14ac:dyDescent="0.15">
      <c r="A85" s="28" t="s">
        <v>50</v>
      </c>
      <c r="B85" s="35">
        <f t="shared" ref="B85:V85" si="19">B68-B51</f>
        <v>0</v>
      </c>
      <c r="C85" s="35">
        <f t="shared" si="19"/>
        <v>0</v>
      </c>
      <c r="D85" s="35">
        <f t="shared" si="19"/>
        <v>0</v>
      </c>
      <c r="E85" s="35">
        <f t="shared" si="19"/>
        <v>0</v>
      </c>
      <c r="F85" s="35">
        <f t="shared" si="19"/>
        <v>0</v>
      </c>
      <c r="G85" s="35">
        <f t="shared" si="19"/>
        <v>0</v>
      </c>
      <c r="H85" s="35">
        <f t="shared" si="19"/>
        <v>0</v>
      </c>
      <c r="I85" s="35">
        <f t="shared" si="19"/>
        <v>0</v>
      </c>
      <c r="J85" s="35">
        <f t="shared" si="19"/>
        <v>0</v>
      </c>
      <c r="K85" s="35">
        <f t="shared" si="19"/>
        <v>0</v>
      </c>
      <c r="L85" s="36">
        <f t="shared" si="19"/>
        <v>0</v>
      </c>
      <c r="M85" s="37">
        <f t="shared" si="19"/>
        <v>0</v>
      </c>
      <c r="N85" s="37">
        <f t="shared" si="19"/>
        <v>0</v>
      </c>
      <c r="O85" s="37">
        <f t="shared" si="19"/>
        <v>0</v>
      </c>
      <c r="P85" s="37">
        <f t="shared" si="19"/>
        <v>0</v>
      </c>
      <c r="Q85" s="37">
        <f t="shared" si="19"/>
        <v>0</v>
      </c>
      <c r="R85" s="37">
        <f t="shared" si="19"/>
        <v>-3086.666666666667</v>
      </c>
      <c r="S85" s="37">
        <f t="shared" si="19"/>
        <v>-6039.5</v>
      </c>
      <c r="T85" s="37">
        <f t="shared" si="19"/>
        <v>-5905.666666666667</v>
      </c>
      <c r="U85" s="37">
        <f t="shared" si="19"/>
        <v>-2685.166666666667</v>
      </c>
      <c r="V85" s="37">
        <f t="shared" si="19"/>
        <v>401.5</v>
      </c>
    </row>
    <row r="86" spans="1:22" x14ac:dyDescent="0.15">
      <c r="A86" s="32" t="s">
        <v>53</v>
      </c>
      <c r="B86" s="38">
        <f t="shared" ref="B86:V86" si="20">B69-B52</f>
        <v>0</v>
      </c>
      <c r="C86" s="38">
        <f t="shared" si="20"/>
        <v>0</v>
      </c>
      <c r="D86" s="38">
        <f t="shared" si="20"/>
        <v>0</v>
      </c>
      <c r="E86" s="38">
        <f t="shared" si="20"/>
        <v>0</v>
      </c>
      <c r="F86" s="38">
        <f t="shared" si="20"/>
        <v>0</v>
      </c>
      <c r="G86" s="38">
        <f t="shared" si="20"/>
        <v>0</v>
      </c>
      <c r="H86" s="38">
        <f t="shared" si="20"/>
        <v>0</v>
      </c>
      <c r="I86" s="38">
        <f t="shared" si="20"/>
        <v>0</v>
      </c>
      <c r="J86" s="38">
        <f t="shared" si="20"/>
        <v>0</v>
      </c>
      <c r="K86" s="38">
        <f t="shared" si="20"/>
        <v>0</v>
      </c>
      <c r="L86" s="38">
        <f t="shared" si="20"/>
        <v>0</v>
      </c>
      <c r="M86" s="38">
        <f t="shared" si="20"/>
        <v>0</v>
      </c>
      <c r="N86" s="38">
        <f t="shared" si="20"/>
        <v>-2362.5</v>
      </c>
      <c r="O86" s="38">
        <f t="shared" si="20"/>
        <v>-6963.75</v>
      </c>
      <c r="P86" s="38">
        <f t="shared" si="20"/>
        <v>-11441.25</v>
      </c>
      <c r="Q86" s="38">
        <f t="shared" si="20"/>
        <v>-15795</v>
      </c>
      <c r="R86" s="38">
        <f t="shared" si="20"/>
        <v>-23111.666666666672</v>
      </c>
      <c r="S86" s="38">
        <f t="shared" si="20"/>
        <v>-29908.25</v>
      </c>
      <c r="T86" s="38">
        <f t="shared" si="20"/>
        <v>-33245.666666666657</v>
      </c>
      <c r="U86" s="38">
        <f t="shared" si="20"/>
        <v>-33386.416666666672</v>
      </c>
      <c r="V86" s="38">
        <f t="shared" si="20"/>
        <v>-33550.999999999971</v>
      </c>
    </row>
    <row r="87" spans="1:22" x14ac:dyDescent="0.15">
      <c r="A87" s="32" t="s">
        <v>56</v>
      </c>
      <c r="B87" s="38">
        <f t="shared" ref="B87:V87" si="21">B70-B53</f>
        <v>-104.58533535954484</v>
      </c>
      <c r="C87" s="38">
        <f t="shared" si="21"/>
        <v>-19156.18223006351</v>
      </c>
      <c r="D87" s="38">
        <f t="shared" si="21"/>
        <v>-21338.283388069773</v>
      </c>
      <c r="E87" s="38">
        <f t="shared" si="21"/>
        <v>1505.8592612066423</v>
      </c>
      <c r="F87" s="38">
        <f t="shared" si="21"/>
        <v>-36747.969750631775</v>
      </c>
      <c r="G87" s="38">
        <f t="shared" si="21"/>
        <v>-70752.024810359406</v>
      </c>
      <c r="H87" s="38">
        <f t="shared" si="21"/>
        <v>-94011.372940132685</v>
      </c>
      <c r="I87" s="38">
        <f t="shared" si="21"/>
        <v>-68112.088345658034</v>
      </c>
      <c r="J87" s="38">
        <f t="shared" si="21"/>
        <v>-57849.837724478159</v>
      </c>
      <c r="K87" s="38">
        <f t="shared" si="21"/>
        <v>-105981.08717014117</v>
      </c>
      <c r="L87" s="38">
        <f t="shared" si="21"/>
        <v>-930</v>
      </c>
      <c r="M87" s="38">
        <f t="shared" si="21"/>
        <v>-26.664664640447882</v>
      </c>
      <c r="N87" s="38">
        <f t="shared" si="21"/>
        <v>-9186.6927699364896</v>
      </c>
      <c r="O87" s="38">
        <f t="shared" si="21"/>
        <v>-14586.529333334765</v>
      </c>
      <c r="P87" s="38">
        <f t="shared" si="21"/>
        <v>-9565.1217612066539</v>
      </c>
      <c r="Q87" s="38">
        <f t="shared" si="21"/>
        <v>-32273.004301766923</v>
      </c>
      <c r="R87" s="38">
        <f t="shared" si="21"/>
        <v>-51081.705634295387</v>
      </c>
      <c r="S87" s="38">
        <f t="shared" si="21"/>
        <v>-64612.472087855393</v>
      </c>
      <c r="T87" s="38">
        <f t="shared" si="21"/>
        <v>-55573.024296598043</v>
      </c>
      <c r="U87" s="38">
        <f t="shared" si="21"/>
        <v>-49067.804084444593</v>
      </c>
      <c r="V87" s="38">
        <f t="shared" si="21"/>
        <v>-65125.250472114858</v>
      </c>
    </row>
    <row r="88" spans="1:22" s="41" customFormat="1" x14ac:dyDescent="0.15">
      <c r="A88" s="39"/>
      <c r="B88" s="40"/>
      <c r="C88" s="40"/>
      <c r="D88" s="40"/>
      <c r="E88" s="40"/>
      <c r="F88" s="40"/>
      <c r="G88" s="40"/>
      <c r="H88" s="40"/>
      <c r="I88" s="40"/>
      <c r="J88" s="40"/>
      <c r="K88" s="40"/>
      <c r="L88" s="40"/>
      <c r="M88" s="40"/>
      <c r="N88" s="40"/>
      <c r="O88" s="40"/>
      <c r="P88" s="40"/>
      <c r="Q88" s="40"/>
      <c r="R88" s="40"/>
      <c r="S88" s="40"/>
      <c r="T88" s="40"/>
      <c r="U88" s="40"/>
      <c r="V88" s="40"/>
    </row>
    <row r="89" spans="1:22" s="41" customFormat="1" x14ac:dyDescent="0.15">
      <c r="A89" s="39"/>
      <c r="B89" s="40"/>
      <c r="C89" s="40"/>
      <c r="D89" s="40"/>
      <c r="E89" s="40"/>
      <c r="F89" s="40"/>
      <c r="G89" s="40"/>
      <c r="H89" s="40"/>
      <c r="I89" s="40"/>
      <c r="J89" s="40"/>
      <c r="K89" s="40"/>
      <c r="L89" s="40"/>
      <c r="M89" s="40"/>
      <c r="N89" s="40"/>
      <c r="O89" s="40"/>
      <c r="P89" s="40"/>
      <c r="Q89" s="40"/>
      <c r="R89" s="40"/>
      <c r="S89" s="40"/>
      <c r="T89" s="40"/>
      <c r="U89" s="40"/>
      <c r="V89" s="40"/>
    </row>
    <row r="90" spans="1:22" ht="14" x14ac:dyDescent="0.15">
      <c r="A90" s="25" t="s">
        <v>101</v>
      </c>
      <c r="R90"/>
    </row>
    <row r="91" spans="1:22" ht="33" x14ac:dyDescent="0.15">
      <c r="B91" s="26" t="s">
        <v>78</v>
      </c>
      <c r="C91" s="26" t="s">
        <v>79</v>
      </c>
      <c r="D91" s="26" t="s">
        <v>80</v>
      </c>
      <c r="E91" s="26" t="s">
        <v>81</v>
      </c>
      <c r="F91" s="26" t="s">
        <v>82</v>
      </c>
      <c r="G91" s="26" t="s">
        <v>83</v>
      </c>
      <c r="H91" s="26" t="s">
        <v>84</v>
      </c>
      <c r="I91" s="26" t="s">
        <v>85</v>
      </c>
      <c r="J91" s="26" t="s">
        <v>86</v>
      </c>
      <c r="K91" s="26" t="s">
        <v>87</v>
      </c>
      <c r="L91" s="27" t="s">
        <v>88</v>
      </c>
      <c r="M91" s="27" t="s">
        <v>89</v>
      </c>
      <c r="N91" s="27" t="s">
        <v>90</v>
      </c>
      <c r="O91" s="27" t="s">
        <v>91</v>
      </c>
      <c r="P91" s="27" t="s">
        <v>92</v>
      </c>
      <c r="Q91" s="27" t="s">
        <v>93</v>
      </c>
      <c r="R91" s="27" t="s">
        <v>94</v>
      </c>
      <c r="S91" s="27" t="s">
        <v>95</v>
      </c>
      <c r="T91" s="27" t="s">
        <v>96</v>
      </c>
      <c r="U91" s="27" t="s">
        <v>97</v>
      </c>
      <c r="V91" s="27" t="s">
        <v>98</v>
      </c>
    </row>
    <row r="92" spans="1:22" x14ac:dyDescent="0.15">
      <c r="A92" s="42" t="s">
        <v>102</v>
      </c>
      <c r="R92"/>
    </row>
    <row r="93" spans="1:22" ht="48" x14ac:dyDescent="0.15">
      <c r="A93" s="309" t="s">
        <v>19</v>
      </c>
      <c r="B93" s="310"/>
      <c r="C93" s="310"/>
      <c r="D93" s="310"/>
      <c r="E93" s="311">
        <f t="shared" ref="E93:K93" si="22">E75</f>
        <v>24407.22630265815</v>
      </c>
      <c r="F93" s="311">
        <f t="shared" si="22"/>
        <v>24064.381582117465</v>
      </c>
      <c r="G93" s="311">
        <f t="shared" si="22"/>
        <v>24064.381582117465</v>
      </c>
      <c r="H93" s="311">
        <f t="shared" si="22"/>
        <v>48471.607884775614</v>
      </c>
      <c r="I93" s="311">
        <f t="shared" si="22"/>
        <v>48471.607884775614</v>
      </c>
      <c r="J93" s="311">
        <f t="shared" si="22"/>
        <v>48128.76316423493</v>
      </c>
      <c r="K93" s="311">
        <f t="shared" si="22"/>
        <v>48128.76316423493</v>
      </c>
      <c r="L93" s="310"/>
      <c r="M93" s="310"/>
      <c r="N93" s="310"/>
      <c r="O93" s="310"/>
      <c r="P93" s="311">
        <f t="shared" ref="P93:V93" si="23">P75</f>
        <v>9032.7111973418505</v>
      </c>
      <c r="Q93" s="311">
        <f t="shared" si="23"/>
        <v>8139.9934178825351</v>
      </c>
      <c r="R93" s="311">
        <f t="shared" si="23"/>
        <v>7386.0350845491921</v>
      </c>
      <c r="S93" s="311">
        <f t="shared" si="23"/>
        <v>15654.017115224386</v>
      </c>
      <c r="T93" s="311">
        <f t="shared" si="23"/>
        <v>14135.329615224386</v>
      </c>
      <c r="U93" s="311">
        <f t="shared" si="23"/>
        <v>12488.653502431742</v>
      </c>
      <c r="V93" s="311">
        <f t="shared" si="23"/>
        <v>10980.736835765063</v>
      </c>
    </row>
    <row r="94" spans="1:22" x14ac:dyDescent="0.15">
      <c r="A94" s="309" t="s">
        <v>103</v>
      </c>
      <c r="B94" s="310"/>
      <c r="C94" s="310"/>
      <c r="D94" s="310">
        <v>-343</v>
      </c>
      <c r="E94" s="311"/>
      <c r="F94" s="311"/>
      <c r="G94" s="311"/>
      <c r="H94" s="311"/>
      <c r="I94" s="311"/>
      <c r="J94" s="311"/>
      <c r="K94" s="311"/>
      <c r="L94" s="310"/>
      <c r="M94" s="310"/>
      <c r="N94" s="310"/>
      <c r="O94" s="310">
        <v>-128</v>
      </c>
      <c r="P94" s="311"/>
      <c r="Q94" s="311"/>
      <c r="R94" s="311"/>
      <c r="S94" s="311"/>
      <c r="T94" s="311"/>
      <c r="U94" s="311"/>
      <c r="V94" s="311"/>
    </row>
    <row r="95" spans="1:22" s="4" customFormat="1" ht="24" x14ac:dyDescent="0.15">
      <c r="A95" s="312" t="s">
        <v>104</v>
      </c>
      <c r="B95" s="313">
        <f>SUM(B93:B94)</f>
        <v>0</v>
      </c>
      <c r="C95" s="313">
        <f t="shared" ref="C95:V95" si="24">SUM(C93:C94)</f>
        <v>0</v>
      </c>
      <c r="D95" s="313">
        <f t="shared" si="24"/>
        <v>-343</v>
      </c>
      <c r="E95" s="313">
        <f t="shared" si="24"/>
        <v>24407.22630265815</v>
      </c>
      <c r="F95" s="313">
        <f t="shared" si="24"/>
        <v>24064.381582117465</v>
      </c>
      <c r="G95" s="313">
        <f t="shared" si="24"/>
        <v>24064.381582117465</v>
      </c>
      <c r="H95" s="313">
        <f t="shared" si="24"/>
        <v>48471.607884775614</v>
      </c>
      <c r="I95" s="313">
        <f t="shared" si="24"/>
        <v>48471.607884775614</v>
      </c>
      <c r="J95" s="313">
        <f t="shared" si="24"/>
        <v>48128.76316423493</v>
      </c>
      <c r="K95" s="313">
        <f t="shared" si="24"/>
        <v>48128.76316423493</v>
      </c>
      <c r="L95" s="313">
        <f t="shared" si="24"/>
        <v>0</v>
      </c>
      <c r="M95" s="313">
        <f t="shared" si="24"/>
        <v>0</v>
      </c>
      <c r="N95" s="313">
        <f t="shared" si="24"/>
        <v>0</v>
      </c>
      <c r="O95" s="313">
        <f t="shared" si="24"/>
        <v>-128</v>
      </c>
      <c r="P95" s="313">
        <f t="shared" si="24"/>
        <v>9032.7111973418505</v>
      </c>
      <c r="Q95" s="313">
        <f t="shared" si="24"/>
        <v>8139.9934178825351</v>
      </c>
      <c r="R95" s="313">
        <f t="shared" si="24"/>
        <v>7386.0350845491921</v>
      </c>
      <c r="S95" s="313">
        <f t="shared" si="24"/>
        <v>15654.017115224386</v>
      </c>
      <c r="T95" s="313">
        <f t="shared" si="24"/>
        <v>14135.329615224386</v>
      </c>
      <c r="U95" s="313">
        <f t="shared" si="24"/>
        <v>12488.653502431742</v>
      </c>
      <c r="V95" s="313">
        <f t="shared" si="24"/>
        <v>10980.736835765063</v>
      </c>
    </row>
    <row r="96" spans="1:22" s="43" customFormat="1" ht="12" x14ac:dyDescent="0.15">
      <c r="A96" s="314"/>
      <c r="B96" s="315"/>
      <c r="C96" s="315">
        <f t="shared" ref="C96:V96" si="25">C75-C95</f>
        <v>0</v>
      </c>
      <c r="D96" s="315">
        <f t="shared" si="25"/>
        <v>0.15527945931535214</v>
      </c>
      <c r="E96" s="315">
        <f t="shared" si="25"/>
        <v>0</v>
      </c>
      <c r="F96" s="315">
        <f t="shared" si="25"/>
        <v>0</v>
      </c>
      <c r="G96" s="315">
        <f t="shared" si="25"/>
        <v>0</v>
      </c>
      <c r="H96" s="315">
        <f t="shared" si="25"/>
        <v>0</v>
      </c>
      <c r="I96" s="315">
        <f t="shared" si="25"/>
        <v>0</v>
      </c>
      <c r="J96" s="315">
        <f t="shared" si="25"/>
        <v>0</v>
      </c>
      <c r="K96" s="315">
        <f t="shared" si="25"/>
        <v>0</v>
      </c>
      <c r="L96" s="315">
        <f t="shared" si="25"/>
        <v>0</v>
      </c>
      <c r="M96" s="315">
        <f t="shared" si="25"/>
        <v>0</v>
      </c>
      <c r="N96" s="315">
        <f t="shared" si="25"/>
        <v>0</v>
      </c>
      <c r="O96" s="315">
        <f t="shared" si="25"/>
        <v>1.1387207356165163E-2</v>
      </c>
      <c r="P96" s="315">
        <f t="shared" si="25"/>
        <v>0</v>
      </c>
      <c r="Q96" s="315">
        <f t="shared" si="25"/>
        <v>0</v>
      </c>
      <c r="R96" s="315">
        <f t="shared" si="25"/>
        <v>0</v>
      </c>
      <c r="S96" s="315">
        <f t="shared" si="25"/>
        <v>0</v>
      </c>
      <c r="T96" s="315">
        <f t="shared" si="25"/>
        <v>0</v>
      </c>
      <c r="U96" s="315">
        <f t="shared" si="25"/>
        <v>0</v>
      </c>
      <c r="V96" s="315">
        <f t="shared" si="25"/>
        <v>0</v>
      </c>
    </row>
    <row r="97" spans="1:23" x14ac:dyDescent="0.15">
      <c r="A97" s="316" t="s">
        <v>24</v>
      </c>
      <c r="B97" s="8"/>
      <c r="C97" s="8"/>
      <c r="D97" s="8"/>
      <c r="E97" s="8"/>
      <c r="F97" s="8"/>
      <c r="G97" s="8"/>
      <c r="H97" s="8"/>
      <c r="I97" s="8"/>
      <c r="J97" s="8"/>
      <c r="K97" s="8"/>
      <c r="L97" s="8"/>
      <c r="M97" s="8"/>
      <c r="N97" s="8"/>
      <c r="O97" s="8"/>
      <c r="P97" s="8"/>
      <c r="Q97" s="8"/>
      <c r="R97" s="8"/>
      <c r="S97" s="8"/>
      <c r="T97" s="8"/>
      <c r="U97" s="8"/>
      <c r="V97" s="8"/>
    </row>
    <row r="98" spans="1:23" x14ac:dyDescent="0.15">
      <c r="A98" s="309" t="s">
        <v>22</v>
      </c>
      <c r="B98" s="310"/>
      <c r="C98" s="310">
        <f>C76</f>
        <v>-929.99999999999977</v>
      </c>
      <c r="D98" s="310">
        <f>C98</f>
        <v>-929.99999999999977</v>
      </c>
      <c r="E98" s="311">
        <f t="shared" ref="E98:K101" si="26">D98</f>
        <v>-929.99999999999977</v>
      </c>
      <c r="F98" s="311">
        <f t="shared" si="26"/>
        <v>-929.99999999999977</v>
      </c>
      <c r="G98" s="311">
        <f t="shared" si="26"/>
        <v>-929.99999999999977</v>
      </c>
      <c r="H98" s="311">
        <f t="shared" si="26"/>
        <v>-929.99999999999977</v>
      </c>
      <c r="I98" s="311"/>
      <c r="J98" s="311"/>
      <c r="K98" s="311"/>
      <c r="L98" s="310"/>
      <c r="M98" s="310"/>
      <c r="N98" s="311">
        <v>-341.25</v>
      </c>
      <c r="O98" s="311">
        <v>-312.16874999999999</v>
      </c>
      <c r="P98" s="311">
        <v>-283.08749999999998</v>
      </c>
      <c r="Q98" s="311">
        <v>-254.00624999999999</v>
      </c>
      <c r="R98" s="311">
        <v>-224.92500000000001</v>
      </c>
      <c r="S98" s="311"/>
      <c r="T98" s="311"/>
      <c r="U98" s="311"/>
      <c r="V98" s="311"/>
    </row>
    <row r="99" spans="1:23" ht="24" x14ac:dyDescent="0.15">
      <c r="A99" s="309" t="s">
        <v>25</v>
      </c>
      <c r="B99" s="310"/>
      <c r="C99" s="310"/>
      <c r="D99" s="310"/>
      <c r="E99" s="311"/>
      <c r="F99" s="311">
        <v>-16308</v>
      </c>
      <c r="G99" s="311">
        <f>F99</f>
        <v>-16308</v>
      </c>
      <c r="H99" s="311">
        <f t="shared" si="26"/>
        <v>-16308</v>
      </c>
      <c r="I99" s="311">
        <f t="shared" si="26"/>
        <v>-16308</v>
      </c>
      <c r="J99" s="311">
        <f t="shared" si="26"/>
        <v>-16308</v>
      </c>
      <c r="K99" s="311">
        <f t="shared" si="26"/>
        <v>-16308</v>
      </c>
      <c r="L99" s="310"/>
      <c r="M99" s="310"/>
      <c r="N99" s="310"/>
      <c r="O99" s="310"/>
      <c r="P99" s="311"/>
      <c r="Q99" s="311">
        <v>-8337.0977058001808</v>
      </c>
      <c r="R99" s="311">
        <v>-7774.4477058001803</v>
      </c>
      <c r="S99" s="311">
        <v>-7211.7977058001798</v>
      </c>
      <c r="T99" s="311">
        <v>-6649.1477058001701</v>
      </c>
      <c r="U99" s="311">
        <v>-6086.4977058001796</v>
      </c>
      <c r="V99" s="311">
        <v>-5523.8477058001799</v>
      </c>
    </row>
    <row r="100" spans="1:23" x14ac:dyDescent="0.15">
      <c r="A100" s="309" t="s">
        <v>28</v>
      </c>
      <c r="B100" s="310"/>
      <c r="C100" s="310"/>
      <c r="D100" s="310"/>
      <c r="E100" s="311"/>
      <c r="F100" s="311">
        <v>-13645</v>
      </c>
      <c r="G100" s="311">
        <f>F100</f>
        <v>-13645</v>
      </c>
      <c r="H100" s="311">
        <f t="shared" si="26"/>
        <v>-13645</v>
      </c>
      <c r="I100" s="311">
        <f t="shared" si="26"/>
        <v>-13645</v>
      </c>
      <c r="J100" s="311">
        <f t="shared" si="26"/>
        <v>-13645</v>
      </c>
      <c r="K100" s="311">
        <f t="shared" si="26"/>
        <v>-13645</v>
      </c>
      <c r="L100" s="310"/>
      <c r="M100" s="310"/>
      <c r="N100" s="310"/>
      <c r="O100" s="310"/>
      <c r="P100" s="311"/>
      <c r="Q100" s="311">
        <v>-6364.7208602051196</v>
      </c>
      <c r="R100" s="311">
        <v>-6025.5541935384499</v>
      </c>
      <c r="S100" s="311">
        <v>-5686.3875268717802</v>
      </c>
      <c r="T100" s="311">
        <v>-5347.2208602051196</v>
      </c>
      <c r="U100" s="311">
        <v>-5008.0541935384499</v>
      </c>
      <c r="V100" s="311">
        <v>-4668.8875268717802</v>
      </c>
    </row>
    <row r="101" spans="1:23" x14ac:dyDescent="0.15">
      <c r="A101" s="309" t="s">
        <v>30</v>
      </c>
      <c r="B101" s="310"/>
      <c r="C101" s="310"/>
      <c r="D101" s="310"/>
      <c r="E101" s="311"/>
      <c r="F101" s="311"/>
      <c r="G101" s="311">
        <v>-17322</v>
      </c>
      <c r="H101" s="311">
        <f>G101</f>
        <v>-17322</v>
      </c>
      <c r="I101" s="311">
        <f t="shared" si="26"/>
        <v>-17322</v>
      </c>
      <c r="J101" s="311">
        <f t="shared" si="26"/>
        <v>-17322</v>
      </c>
      <c r="K101" s="311">
        <f t="shared" si="26"/>
        <v>-17322</v>
      </c>
      <c r="L101" s="310"/>
      <c r="M101" s="310"/>
      <c r="N101" s="310"/>
      <c r="O101" s="310"/>
      <c r="P101" s="311"/>
      <c r="Q101" s="311"/>
      <c r="R101" s="311">
        <v>-6596.7119062544798</v>
      </c>
      <c r="S101" s="311">
        <v>-6049.5535729211497</v>
      </c>
      <c r="T101" s="311">
        <v>-5502.3952395878196</v>
      </c>
      <c r="U101" s="311">
        <v>-4955.2369062544803</v>
      </c>
      <c r="V101" s="311">
        <v>-4408.0785729211502</v>
      </c>
    </row>
    <row r="102" spans="1:23" ht="24" x14ac:dyDescent="0.15">
      <c r="A102" s="309" t="s">
        <v>33</v>
      </c>
      <c r="B102" s="310"/>
      <c r="C102" s="310"/>
      <c r="D102" s="310"/>
      <c r="E102" s="311"/>
      <c r="F102" s="311"/>
      <c r="G102" s="311">
        <v>-3433</v>
      </c>
      <c r="H102" s="311">
        <f>G102</f>
        <v>-3433</v>
      </c>
      <c r="I102" s="311">
        <f>H102</f>
        <v>-3433</v>
      </c>
      <c r="J102" s="311"/>
      <c r="K102" s="311"/>
      <c r="L102" s="310"/>
      <c r="M102" s="310"/>
      <c r="N102" s="310"/>
      <c r="O102" s="310"/>
      <c r="P102" s="311"/>
      <c r="Q102" s="311"/>
      <c r="R102" s="311">
        <v>-127.98861279265201</v>
      </c>
      <c r="S102" s="311">
        <v>-117.217779459319</v>
      </c>
      <c r="T102" s="311">
        <v>-106.446946125986</v>
      </c>
      <c r="U102" s="311">
        <v>1179.2665244105899</v>
      </c>
      <c r="V102" s="311">
        <v>1082.3290244105799</v>
      </c>
      <c r="W102" s="3"/>
    </row>
    <row r="103" spans="1:23" x14ac:dyDescent="0.15">
      <c r="A103" s="309" t="s">
        <v>105</v>
      </c>
      <c r="B103" s="310"/>
      <c r="C103" s="310"/>
      <c r="D103" s="310"/>
      <c r="E103" s="311"/>
      <c r="F103" s="311"/>
      <c r="G103" s="311"/>
      <c r="H103" s="311"/>
      <c r="I103" s="311"/>
      <c r="J103" s="311"/>
      <c r="K103" s="311"/>
      <c r="L103" s="310"/>
      <c r="M103" s="310"/>
      <c r="N103" s="310"/>
      <c r="O103" s="310"/>
      <c r="P103" s="311"/>
      <c r="Q103" s="311"/>
      <c r="R103" s="311"/>
      <c r="S103" s="311">
        <v>-196</v>
      </c>
      <c r="T103" s="311">
        <v>174</v>
      </c>
      <c r="U103" s="311">
        <v>174</v>
      </c>
      <c r="V103" s="311">
        <v>174</v>
      </c>
      <c r="W103" s="3"/>
    </row>
    <row r="104" spans="1:23" s="4" customFormat="1" x14ac:dyDescent="0.15">
      <c r="A104" s="312" t="s">
        <v>106</v>
      </c>
      <c r="B104" s="313">
        <f t="shared" ref="B104:R104" si="27">SUM(B98:B102)</f>
        <v>0</v>
      </c>
      <c r="C104" s="313">
        <f t="shared" si="27"/>
        <v>-929.99999999999977</v>
      </c>
      <c r="D104" s="313">
        <f t="shared" si="27"/>
        <v>-929.99999999999977</v>
      </c>
      <c r="E104" s="313">
        <f t="shared" si="27"/>
        <v>-929.99999999999977</v>
      </c>
      <c r="F104" s="313">
        <f t="shared" si="27"/>
        <v>-30883</v>
      </c>
      <c r="G104" s="313">
        <f t="shared" si="27"/>
        <v>-51638</v>
      </c>
      <c r="H104" s="313">
        <f t="shared" si="27"/>
        <v>-51638</v>
      </c>
      <c r="I104" s="313">
        <f t="shared" si="27"/>
        <v>-50708</v>
      </c>
      <c r="J104" s="313">
        <f t="shared" si="27"/>
        <v>-47275</v>
      </c>
      <c r="K104" s="313">
        <f t="shared" si="27"/>
        <v>-47275</v>
      </c>
      <c r="L104" s="313">
        <f t="shared" si="27"/>
        <v>0</v>
      </c>
      <c r="M104" s="313">
        <f t="shared" si="27"/>
        <v>0</v>
      </c>
      <c r="N104" s="313">
        <f t="shared" si="27"/>
        <v>-341.25</v>
      </c>
      <c r="O104" s="313">
        <f t="shared" si="27"/>
        <v>-312.16874999999999</v>
      </c>
      <c r="P104" s="313">
        <f t="shared" si="27"/>
        <v>-283.08749999999998</v>
      </c>
      <c r="Q104" s="313">
        <f t="shared" si="27"/>
        <v>-14955.824816005301</v>
      </c>
      <c r="R104" s="313">
        <f t="shared" si="27"/>
        <v>-20749.62741838576</v>
      </c>
      <c r="S104" s="313">
        <f>SUM(S98:S103)</f>
        <v>-19260.956585052427</v>
      </c>
      <c r="T104" s="313">
        <f>SUM(T98:T103)</f>
        <v>-17431.210751719096</v>
      </c>
      <c r="U104" s="313">
        <f>SUM(U98:U103)</f>
        <v>-14696.522281182519</v>
      </c>
      <c r="V104" s="313">
        <f>SUM(V98:V103)</f>
        <v>-13344.484781182529</v>
      </c>
    </row>
    <row r="105" spans="1:23" s="43" customFormat="1" ht="12" x14ac:dyDescent="0.15">
      <c r="A105" s="314"/>
      <c r="B105" s="315">
        <f t="shared" ref="B105:V105" si="28">B76-B104</f>
        <v>0</v>
      </c>
      <c r="C105" s="315">
        <f t="shared" si="28"/>
        <v>0</v>
      </c>
      <c r="D105" s="315">
        <f t="shared" si="28"/>
        <v>0</v>
      </c>
      <c r="E105" s="315">
        <f t="shared" si="28"/>
        <v>0</v>
      </c>
      <c r="F105" s="315">
        <f t="shared" si="28"/>
        <v>-0.84810066136560636</v>
      </c>
      <c r="G105" s="315">
        <f t="shared" si="28"/>
        <v>-0.86022387031698599</v>
      </c>
      <c r="H105" s="315">
        <f t="shared" si="28"/>
        <v>-0.86022387031698599</v>
      </c>
      <c r="I105" s="315">
        <f t="shared" si="28"/>
        <v>-0.86022387031698599</v>
      </c>
      <c r="J105" s="315">
        <f t="shared" si="28"/>
        <v>-0.46952774020610377</v>
      </c>
      <c r="K105" s="315">
        <f t="shared" si="28"/>
        <v>-0.46952774020610377</v>
      </c>
      <c r="L105" s="315">
        <f t="shared" si="28"/>
        <v>-930</v>
      </c>
      <c r="M105" s="315">
        <f t="shared" si="28"/>
        <v>0</v>
      </c>
      <c r="N105" s="315">
        <f t="shared" si="28"/>
        <v>0</v>
      </c>
      <c r="O105" s="315">
        <f t="shared" si="28"/>
        <v>0</v>
      </c>
      <c r="P105" s="315">
        <f t="shared" si="28"/>
        <v>0</v>
      </c>
      <c r="Q105" s="315">
        <f t="shared" si="28"/>
        <v>1.4551915228366852E-11</v>
      </c>
      <c r="R105" s="315">
        <f t="shared" si="28"/>
        <v>0</v>
      </c>
      <c r="S105" s="315">
        <f t="shared" si="28"/>
        <v>0.15625000002182787</v>
      </c>
      <c r="T105" s="315">
        <f t="shared" si="28"/>
        <v>0.48749999999563443</v>
      </c>
      <c r="U105" s="315">
        <f t="shared" si="28"/>
        <v>0.48749999999563443</v>
      </c>
      <c r="V105" s="315">
        <f t="shared" si="28"/>
        <v>0.48750000000472937</v>
      </c>
    </row>
    <row r="106" spans="1:23" x14ac:dyDescent="0.15">
      <c r="A106" s="316" t="s">
        <v>27</v>
      </c>
      <c r="B106" s="8"/>
      <c r="C106" s="8"/>
      <c r="D106" s="8"/>
      <c r="E106" s="8"/>
      <c r="F106" s="8"/>
      <c r="G106" s="8"/>
      <c r="H106" s="8"/>
      <c r="I106" s="8"/>
      <c r="J106" s="8"/>
      <c r="K106" s="8"/>
      <c r="L106" s="8"/>
      <c r="M106" s="8"/>
      <c r="N106" s="8"/>
      <c r="O106" s="8"/>
      <c r="P106" s="8"/>
      <c r="Q106" s="8"/>
      <c r="R106" s="8"/>
      <c r="S106" s="8"/>
      <c r="T106" s="8"/>
      <c r="U106" s="8"/>
      <c r="V106" s="8"/>
    </row>
    <row r="107" spans="1:23" x14ac:dyDescent="0.15">
      <c r="A107" s="309" t="s">
        <v>36</v>
      </c>
      <c r="B107" s="310"/>
      <c r="C107" s="310">
        <v>-4126</v>
      </c>
      <c r="D107" s="310">
        <v>-4126</v>
      </c>
      <c r="E107" s="311">
        <f>D107</f>
        <v>-4126</v>
      </c>
      <c r="F107" s="311">
        <f t="shared" ref="F107:H107" si="29">E107</f>
        <v>-4126</v>
      </c>
      <c r="G107" s="311">
        <f t="shared" si="29"/>
        <v>-4126</v>
      </c>
      <c r="H107" s="311">
        <f t="shared" si="29"/>
        <v>-4126</v>
      </c>
      <c r="I107" s="311"/>
      <c r="J107" s="311"/>
      <c r="K107" s="311"/>
      <c r="L107" s="310"/>
      <c r="M107" s="310"/>
      <c r="N107" s="311">
        <v>-1523.74091207741</v>
      </c>
      <c r="O107" s="311">
        <v>-1394.49091207741</v>
      </c>
      <c r="P107" s="311">
        <v>-1265.24091207741</v>
      </c>
      <c r="Q107" s="311">
        <v>-1135.99091207741</v>
      </c>
      <c r="R107" s="311">
        <v>-1006.74091207741</v>
      </c>
      <c r="S107" s="311">
        <v>-877.49091207741503</v>
      </c>
      <c r="T107" s="311">
        <v>775</v>
      </c>
      <c r="U107" s="311">
        <v>775</v>
      </c>
      <c r="V107" s="311">
        <v>775</v>
      </c>
    </row>
    <row r="108" spans="1:23" ht="24" x14ac:dyDescent="0.15">
      <c r="A108" s="309" t="s">
        <v>39</v>
      </c>
      <c r="B108" s="310"/>
      <c r="C108" s="310"/>
      <c r="D108" s="310"/>
      <c r="E108" s="311"/>
      <c r="F108" s="311"/>
      <c r="G108" s="311"/>
      <c r="H108" s="311">
        <v>-1100</v>
      </c>
      <c r="I108" s="311">
        <f>H108</f>
        <v>-1100</v>
      </c>
      <c r="J108" s="311">
        <f>I108</f>
        <v>-1100</v>
      </c>
      <c r="K108" s="311"/>
      <c r="L108" s="310"/>
      <c r="M108" s="310"/>
      <c r="N108" s="311"/>
      <c r="O108" s="311"/>
      <c r="P108" s="311"/>
      <c r="Q108" s="311"/>
      <c r="R108" s="311"/>
      <c r="S108" s="311">
        <v>-406.862491041076</v>
      </c>
      <c r="T108" s="311">
        <v>-372.39582437440902</v>
      </c>
      <c r="U108" s="311">
        <v>-337.929157707743</v>
      </c>
      <c r="V108" s="311"/>
    </row>
    <row r="109" spans="1:23" x14ac:dyDescent="0.15">
      <c r="A109" s="309" t="s">
        <v>42</v>
      </c>
      <c r="B109" s="310"/>
      <c r="C109" s="310"/>
      <c r="D109" s="310"/>
      <c r="E109" s="311"/>
      <c r="F109" s="311"/>
      <c r="G109" s="311">
        <v>-12983</v>
      </c>
      <c r="H109" s="311">
        <f>G109</f>
        <v>-12983</v>
      </c>
      <c r="I109" s="311">
        <f t="shared" ref="I109" si="30">H109</f>
        <v>-12983</v>
      </c>
      <c r="J109" s="311"/>
      <c r="K109" s="311"/>
      <c r="L109" s="310"/>
      <c r="M109" s="310"/>
      <c r="N109" s="311"/>
      <c r="O109" s="311"/>
      <c r="P109" s="311"/>
      <c r="Q109" s="311"/>
      <c r="R109" s="311">
        <v>-5734.3081992134003</v>
      </c>
      <c r="S109" s="311">
        <v>-5395.1415325467296</v>
      </c>
      <c r="T109" s="311">
        <v>-5055.97486588006</v>
      </c>
      <c r="U109" s="311">
        <v>1017</v>
      </c>
      <c r="V109" s="311">
        <v>1017</v>
      </c>
    </row>
    <row r="110" spans="1:23" x14ac:dyDescent="0.15">
      <c r="A110" s="309" t="s">
        <v>107</v>
      </c>
      <c r="B110" s="310"/>
      <c r="C110" s="310">
        <v>-127</v>
      </c>
      <c r="D110" s="310">
        <v>-127</v>
      </c>
      <c r="E110" s="310">
        <v>-127</v>
      </c>
      <c r="F110" s="310">
        <v>-127</v>
      </c>
      <c r="G110" s="310">
        <v>-127</v>
      </c>
      <c r="H110" s="310">
        <v>-127</v>
      </c>
      <c r="I110" s="311"/>
      <c r="J110" s="311"/>
      <c r="K110" s="311"/>
      <c r="L110" s="310"/>
      <c r="M110" s="310"/>
      <c r="N110" s="310">
        <v>-31</v>
      </c>
      <c r="O110" s="310">
        <v>-27</v>
      </c>
      <c r="P110" s="311">
        <v>-23</v>
      </c>
      <c r="Q110" s="311">
        <v>-19</v>
      </c>
      <c r="R110" s="311">
        <v>-15</v>
      </c>
      <c r="S110" s="311">
        <v>-11</v>
      </c>
      <c r="T110" s="311">
        <v>25</v>
      </c>
      <c r="U110" s="311">
        <v>26</v>
      </c>
      <c r="V110" s="311">
        <v>129</v>
      </c>
    </row>
    <row r="111" spans="1:23" s="4" customFormat="1" x14ac:dyDescent="0.15">
      <c r="A111" s="312" t="s">
        <v>106</v>
      </c>
      <c r="B111" s="313">
        <f t="shared" ref="B111:V111" si="31">SUM(B107:B110)</f>
        <v>0</v>
      </c>
      <c r="C111" s="313">
        <f t="shared" si="31"/>
        <v>-4253</v>
      </c>
      <c r="D111" s="313">
        <f t="shared" si="31"/>
        <v>-4253</v>
      </c>
      <c r="E111" s="313">
        <f t="shared" si="31"/>
        <v>-4253</v>
      </c>
      <c r="F111" s="313">
        <f t="shared" si="31"/>
        <v>-4253</v>
      </c>
      <c r="G111" s="313">
        <f t="shared" si="31"/>
        <v>-17236</v>
      </c>
      <c r="H111" s="313">
        <f t="shared" si="31"/>
        <v>-18336</v>
      </c>
      <c r="I111" s="313">
        <f t="shared" si="31"/>
        <v>-14083</v>
      </c>
      <c r="J111" s="313">
        <f t="shared" si="31"/>
        <v>-1100</v>
      </c>
      <c r="K111" s="313">
        <f t="shared" si="31"/>
        <v>0</v>
      </c>
      <c r="L111" s="313">
        <f t="shared" si="31"/>
        <v>0</v>
      </c>
      <c r="M111" s="313">
        <f t="shared" si="31"/>
        <v>0</v>
      </c>
      <c r="N111" s="313">
        <f t="shared" si="31"/>
        <v>-1554.74091207741</v>
      </c>
      <c r="O111" s="313">
        <f t="shared" si="31"/>
        <v>-1421.49091207741</v>
      </c>
      <c r="P111" s="313">
        <f t="shared" si="31"/>
        <v>-1288.24091207741</v>
      </c>
      <c r="Q111" s="313">
        <f t="shared" si="31"/>
        <v>-1154.99091207741</v>
      </c>
      <c r="R111" s="313">
        <f t="shared" si="31"/>
        <v>-6756.0491112908103</v>
      </c>
      <c r="S111" s="313">
        <f t="shared" si="31"/>
        <v>-6690.4949356652205</v>
      </c>
      <c r="T111" s="313">
        <f t="shared" si="31"/>
        <v>-4628.3706902544691</v>
      </c>
      <c r="U111" s="313">
        <f t="shared" si="31"/>
        <v>1480.0708422922571</v>
      </c>
      <c r="V111" s="313">
        <f t="shared" si="31"/>
        <v>1921</v>
      </c>
    </row>
    <row r="112" spans="1:23" s="43" customFormat="1" ht="12" x14ac:dyDescent="0.15">
      <c r="A112" s="314"/>
      <c r="B112" s="315"/>
      <c r="C112" s="315">
        <f t="shared" ref="C112:V112" si="32">C77-C111</f>
        <v>0.40272917151105503</v>
      </c>
      <c r="D112" s="315">
        <f t="shared" si="32"/>
        <v>0.40272917151105503</v>
      </c>
      <c r="E112" s="315">
        <f t="shared" si="32"/>
        <v>0.40272917151105503</v>
      </c>
      <c r="F112" s="315">
        <f t="shared" si="32"/>
        <v>0.40272917151105503</v>
      </c>
      <c r="G112" s="315">
        <f t="shared" si="32"/>
        <v>4.4261718245252268E-2</v>
      </c>
      <c r="H112" s="315">
        <f t="shared" si="32"/>
        <v>0.24008609265365521</v>
      </c>
      <c r="I112" s="315">
        <f t="shared" si="32"/>
        <v>-0.1626430788601283</v>
      </c>
      <c r="J112" s="315">
        <f t="shared" si="32"/>
        <v>0.19582437440840295</v>
      </c>
      <c r="K112" s="315">
        <f t="shared" si="32"/>
        <v>0</v>
      </c>
      <c r="L112" s="315">
        <f t="shared" si="32"/>
        <v>0</v>
      </c>
      <c r="M112" s="315">
        <f t="shared" si="32"/>
        <v>0</v>
      </c>
      <c r="N112" s="315">
        <f t="shared" si="32"/>
        <v>-0.16181709410125222</v>
      </c>
      <c r="O112" s="315">
        <f t="shared" si="32"/>
        <v>-3.6817094101252223E-2</v>
      </c>
      <c r="P112" s="315">
        <f t="shared" si="32"/>
        <v>8.818290589897515E-2</v>
      </c>
      <c r="Q112" s="315">
        <f t="shared" si="32"/>
        <v>0.2131829058985204</v>
      </c>
      <c r="R112" s="315">
        <f t="shared" si="32"/>
        <v>0.33818290590079414</v>
      </c>
      <c r="S112" s="315">
        <f t="shared" si="32"/>
        <v>0.46318290590079414</v>
      </c>
      <c r="T112" s="315">
        <f t="shared" si="32"/>
        <v>0.24999999999545253</v>
      </c>
      <c r="U112" s="315">
        <f t="shared" si="32"/>
        <v>-0.24999999999909051</v>
      </c>
      <c r="V112" s="315">
        <f t="shared" si="32"/>
        <v>0.1500000000005457</v>
      </c>
    </row>
    <row r="113" spans="1:22" x14ac:dyDescent="0.15">
      <c r="A113" s="316" t="s">
        <v>108</v>
      </c>
      <c r="B113" s="8"/>
      <c r="C113" s="8"/>
      <c r="D113" s="8"/>
      <c r="E113" s="8"/>
      <c r="F113" s="8"/>
      <c r="G113" s="8"/>
      <c r="H113" s="8"/>
      <c r="I113" s="8"/>
      <c r="J113" s="8"/>
      <c r="K113" s="8"/>
      <c r="L113" s="8"/>
      <c r="M113" s="8"/>
      <c r="N113" s="8"/>
      <c r="O113" s="8"/>
      <c r="P113" s="8"/>
      <c r="Q113" s="8"/>
      <c r="R113" s="8"/>
      <c r="S113" s="8"/>
      <c r="T113" s="8"/>
      <c r="U113" s="8"/>
      <c r="V113" s="8"/>
    </row>
    <row r="114" spans="1:22" x14ac:dyDescent="0.15">
      <c r="A114" s="309" t="s">
        <v>45</v>
      </c>
      <c r="B114" s="310"/>
      <c r="C114" s="310">
        <v>-685</v>
      </c>
      <c r="D114" s="310">
        <f>C114</f>
        <v>-685</v>
      </c>
      <c r="E114" s="311">
        <f t="shared" ref="E114:H115" si="33">D114</f>
        <v>-685</v>
      </c>
      <c r="F114" s="311">
        <f t="shared" si="33"/>
        <v>-685</v>
      </c>
      <c r="G114" s="311">
        <f t="shared" si="33"/>
        <v>-685</v>
      </c>
      <c r="H114" s="311">
        <f t="shared" si="33"/>
        <v>-685</v>
      </c>
      <c r="I114" s="311"/>
      <c r="J114" s="311"/>
      <c r="K114" s="311"/>
      <c r="L114" s="310"/>
      <c r="M114" s="310"/>
      <c r="N114" s="311">
        <v>-256.36898119022601</v>
      </c>
      <c r="O114" s="311">
        <v>-234.82731452356001</v>
      </c>
      <c r="P114" s="311">
        <v>-213.28564785689301</v>
      </c>
      <c r="Q114" s="311">
        <v>-191.74398119022601</v>
      </c>
      <c r="R114" s="311">
        <v>-170.20231452356001</v>
      </c>
      <c r="S114" s="311">
        <v>-148.66064785689301</v>
      </c>
      <c r="T114" s="311">
        <v>129</v>
      </c>
      <c r="U114" s="311">
        <v>129</v>
      </c>
      <c r="V114" s="311">
        <v>129</v>
      </c>
    </row>
    <row r="115" spans="1:22" ht="24" x14ac:dyDescent="0.15">
      <c r="A115" s="309" t="s">
        <v>48</v>
      </c>
      <c r="B115" s="310"/>
      <c r="C115" s="310"/>
      <c r="D115" s="310"/>
      <c r="E115" s="311">
        <v>-578</v>
      </c>
      <c r="F115" s="311">
        <f>E115</f>
        <v>-578</v>
      </c>
      <c r="G115" s="311">
        <f t="shared" si="33"/>
        <v>-578</v>
      </c>
      <c r="H115" s="311">
        <f t="shared" si="33"/>
        <v>-578</v>
      </c>
      <c r="I115" s="311"/>
      <c r="J115" s="311"/>
      <c r="K115" s="311"/>
      <c r="L115" s="310"/>
      <c r="M115" s="310"/>
      <c r="N115" s="311"/>
      <c r="O115" s="311">
        <v>-472.49397140455198</v>
      </c>
      <c r="P115" s="311">
        <v>-444.99397140455198</v>
      </c>
      <c r="Q115" s="311">
        <v>-417.49397140455198</v>
      </c>
      <c r="R115" s="311">
        <v>-389.99397140455198</v>
      </c>
      <c r="S115" s="311">
        <v>-362.49397140455198</v>
      </c>
      <c r="T115" s="311">
        <v>138</v>
      </c>
      <c r="U115" s="311">
        <v>138</v>
      </c>
      <c r="V115" s="311">
        <v>138</v>
      </c>
    </row>
    <row r="116" spans="1:22" ht="24" x14ac:dyDescent="0.15">
      <c r="A116" s="309" t="s">
        <v>51</v>
      </c>
      <c r="B116" s="310"/>
      <c r="C116" s="310"/>
      <c r="D116" s="310"/>
      <c r="E116" s="311"/>
      <c r="F116" s="311"/>
      <c r="G116" s="311"/>
      <c r="H116" s="311"/>
      <c r="I116" s="311"/>
      <c r="J116" s="311">
        <v>-7225</v>
      </c>
      <c r="K116" s="311"/>
      <c r="L116" s="310"/>
      <c r="M116" s="310"/>
      <c r="N116" s="311"/>
      <c r="O116" s="8"/>
      <c r="P116" s="8"/>
      <c r="Q116" s="8"/>
      <c r="R116" s="8"/>
      <c r="S116" s="8"/>
      <c r="T116" s="311"/>
      <c r="U116" s="311">
        <v>-2833</v>
      </c>
      <c r="V116" s="311">
        <v>236</v>
      </c>
    </row>
    <row r="117" spans="1:22" x14ac:dyDescent="0.15">
      <c r="A117" s="309" t="s">
        <v>109</v>
      </c>
      <c r="B117" s="310"/>
      <c r="C117" s="310"/>
      <c r="D117" s="310">
        <v>-127</v>
      </c>
      <c r="E117" s="311">
        <v>-126</v>
      </c>
      <c r="F117" s="311">
        <v>-126</v>
      </c>
      <c r="G117" s="311">
        <v>-126</v>
      </c>
      <c r="H117" s="311">
        <v>-126</v>
      </c>
      <c r="I117" s="311"/>
      <c r="J117" s="311">
        <v>-300</v>
      </c>
      <c r="K117" s="311"/>
      <c r="L117" s="310"/>
      <c r="M117" s="310"/>
      <c r="N117" s="310"/>
      <c r="O117" s="310">
        <v>-31</v>
      </c>
      <c r="P117" s="311">
        <v>-27</v>
      </c>
      <c r="Q117" s="311">
        <v>-23</v>
      </c>
      <c r="R117" s="311">
        <v>-19</v>
      </c>
      <c r="S117" s="311">
        <v>-15</v>
      </c>
      <c r="T117" s="311">
        <v>20</v>
      </c>
      <c r="U117" s="311">
        <v>20</v>
      </c>
      <c r="V117" s="311">
        <v>21</v>
      </c>
    </row>
    <row r="118" spans="1:22" x14ac:dyDescent="0.15">
      <c r="A118" s="312"/>
      <c r="B118" s="313">
        <f t="shared" ref="B118:V118" si="34">SUM(B114:B117)</f>
        <v>0</v>
      </c>
      <c r="C118" s="313">
        <f t="shared" si="34"/>
        <v>-685</v>
      </c>
      <c r="D118" s="313">
        <f t="shared" si="34"/>
        <v>-812</v>
      </c>
      <c r="E118" s="313">
        <f t="shared" si="34"/>
        <v>-1389</v>
      </c>
      <c r="F118" s="313">
        <f t="shared" si="34"/>
        <v>-1389</v>
      </c>
      <c r="G118" s="313">
        <f t="shared" si="34"/>
        <v>-1389</v>
      </c>
      <c r="H118" s="313">
        <f t="shared" si="34"/>
        <v>-1389</v>
      </c>
      <c r="I118" s="313">
        <f t="shared" si="34"/>
        <v>0</v>
      </c>
      <c r="J118" s="313">
        <f t="shared" si="34"/>
        <v>-7525</v>
      </c>
      <c r="K118" s="313">
        <f t="shared" si="34"/>
        <v>0</v>
      </c>
      <c r="L118" s="313">
        <f t="shared" si="34"/>
        <v>0</v>
      </c>
      <c r="M118" s="313">
        <f t="shared" si="34"/>
        <v>0</v>
      </c>
      <c r="N118" s="313">
        <f t="shared" si="34"/>
        <v>-256.36898119022601</v>
      </c>
      <c r="O118" s="313">
        <f t="shared" si="34"/>
        <v>-738.32128592811205</v>
      </c>
      <c r="P118" s="313">
        <f t="shared" si="34"/>
        <v>-685.27961926144496</v>
      </c>
      <c r="Q118" s="313">
        <f t="shared" si="34"/>
        <v>-632.23795259477799</v>
      </c>
      <c r="R118" s="313">
        <f t="shared" si="34"/>
        <v>-579.19628592811205</v>
      </c>
      <c r="S118" s="313">
        <f t="shared" si="34"/>
        <v>-526.15461926144496</v>
      </c>
      <c r="T118" s="313">
        <f t="shared" si="34"/>
        <v>287</v>
      </c>
      <c r="U118" s="313">
        <f t="shared" si="34"/>
        <v>-2546</v>
      </c>
      <c r="V118" s="313">
        <f t="shared" si="34"/>
        <v>524</v>
      </c>
    </row>
    <row r="119" spans="1:22" x14ac:dyDescent="0.15">
      <c r="A119" s="314"/>
      <c r="B119" s="315">
        <f t="shared" ref="B119:V119" si="35">B78-B118</f>
        <v>0</v>
      </c>
      <c r="C119" s="315">
        <f t="shared" si="35"/>
        <v>-0.29768547644027876</v>
      </c>
      <c r="D119" s="315">
        <f t="shared" si="35"/>
        <v>0.36413161765653967</v>
      </c>
      <c r="E119" s="315">
        <f t="shared" si="35"/>
        <v>-0.14189697779170274</v>
      </c>
      <c r="F119" s="315">
        <f t="shared" si="35"/>
        <v>-0.14189697779170274</v>
      </c>
      <c r="G119" s="315">
        <f t="shared" si="35"/>
        <v>-0.14189697779170274</v>
      </c>
      <c r="H119" s="315">
        <f t="shared" si="35"/>
        <v>-0.14189697779170274</v>
      </c>
      <c r="I119" s="315">
        <f t="shared" si="35"/>
        <v>0</v>
      </c>
      <c r="J119" s="315">
        <f t="shared" si="35"/>
        <v>0.42792357751022791</v>
      </c>
      <c r="K119" s="315">
        <f t="shared" si="35"/>
        <v>0</v>
      </c>
      <c r="L119" s="315">
        <f t="shared" si="35"/>
        <v>0</v>
      </c>
      <c r="M119" s="315">
        <f t="shared" si="35"/>
        <v>0</v>
      </c>
      <c r="N119" s="315">
        <f t="shared" si="35"/>
        <v>0</v>
      </c>
      <c r="O119" s="315">
        <f t="shared" si="35"/>
        <v>-0.16181709409625</v>
      </c>
      <c r="P119" s="315">
        <f t="shared" si="35"/>
        <v>-3.6817094096591063E-2</v>
      </c>
      <c r="Q119" s="315">
        <f t="shared" si="35"/>
        <v>8.818290590295419E-2</v>
      </c>
      <c r="R119" s="315">
        <f t="shared" si="35"/>
        <v>0.21318290590375</v>
      </c>
      <c r="S119" s="315">
        <f t="shared" si="35"/>
        <v>0.33818290590329525</v>
      </c>
      <c r="T119" s="315">
        <f t="shared" si="35"/>
        <v>0.37500000000005684</v>
      </c>
      <c r="U119" s="315">
        <f t="shared" si="35"/>
        <v>-0.38625691084507707</v>
      </c>
      <c r="V119" s="315">
        <f t="shared" si="35"/>
        <v>0.33333333333257542</v>
      </c>
    </row>
    <row r="120" spans="1:22" x14ac:dyDescent="0.15">
      <c r="A120" s="316" t="s">
        <v>110</v>
      </c>
      <c r="B120" s="8"/>
      <c r="C120" s="8"/>
      <c r="D120" s="8"/>
      <c r="E120" s="8"/>
      <c r="F120" s="8"/>
      <c r="G120" s="8"/>
      <c r="H120" s="8"/>
      <c r="I120" s="8"/>
      <c r="J120" s="8"/>
      <c r="K120" s="8"/>
      <c r="L120" s="8"/>
      <c r="M120" s="8"/>
      <c r="N120" s="8"/>
      <c r="O120" s="8"/>
      <c r="P120" s="8"/>
      <c r="Q120" s="8"/>
      <c r="R120" s="8"/>
      <c r="S120" s="8"/>
      <c r="T120" s="8"/>
      <c r="U120" s="8"/>
      <c r="V120" s="8"/>
    </row>
    <row r="121" spans="1:22" ht="24" x14ac:dyDescent="0.15">
      <c r="A121" s="309" t="s">
        <v>54</v>
      </c>
      <c r="B121" s="310"/>
      <c r="C121" s="310"/>
      <c r="D121" s="310"/>
      <c r="E121" s="311"/>
      <c r="F121" s="311">
        <f>-3228</f>
        <v>-3228</v>
      </c>
      <c r="G121" s="311">
        <f>F121</f>
        <v>-3228</v>
      </c>
      <c r="H121" s="311">
        <f t="shared" ref="H121:K121" si="36">G121</f>
        <v>-3228</v>
      </c>
      <c r="I121" s="311">
        <f t="shared" si="36"/>
        <v>-3228</v>
      </c>
      <c r="J121" s="311">
        <f t="shared" si="36"/>
        <v>-3228</v>
      </c>
      <c r="K121" s="311">
        <f t="shared" si="36"/>
        <v>-3228</v>
      </c>
      <c r="L121" s="310"/>
      <c r="M121" s="310"/>
      <c r="N121" s="311"/>
      <c r="O121" s="311"/>
      <c r="P121" s="311"/>
      <c r="Q121" s="311">
        <v>-1468.8945065083001</v>
      </c>
      <c r="R121" s="311">
        <v>-1349.7278398416399</v>
      </c>
      <c r="S121" s="311">
        <v>-1230.56117317497</v>
      </c>
      <c r="T121" s="311">
        <v>-1111.3945065083001</v>
      </c>
      <c r="U121" s="311">
        <v>-992.22783984163698</v>
      </c>
      <c r="V121" s="311">
        <v>-873.06117317497001</v>
      </c>
    </row>
    <row r="122" spans="1:22" x14ac:dyDescent="0.15">
      <c r="A122" s="309" t="s">
        <v>57</v>
      </c>
      <c r="B122" s="310"/>
      <c r="C122" s="311">
        <v>-12780</v>
      </c>
      <c r="D122" s="311">
        <f>C122</f>
        <v>-12780</v>
      </c>
      <c r="E122" s="311">
        <f t="shared" ref="E122:H122" si="37">D122</f>
        <v>-12780</v>
      </c>
      <c r="F122" s="311">
        <f t="shared" si="37"/>
        <v>-12780</v>
      </c>
      <c r="G122" s="311">
        <f t="shared" si="37"/>
        <v>-12780</v>
      </c>
      <c r="H122" s="311">
        <f t="shared" si="37"/>
        <v>-12780</v>
      </c>
      <c r="I122" s="311"/>
      <c r="J122" s="311"/>
      <c r="K122" s="311"/>
      <c r="L122" s="310"/>
      <c r="M122" s="310"/>
      <c r="N122" s="311">
        <v>-4572.3654961604898</v>
      </c>
      <c r="O122" s="311">
        <v>-4301.0321628271504</v>
      </c>
      <c r="P122" s="311">
        <v>-4029.6988294938201</v>
      </c>
      <c r="Q122" s="311">
        <v>-3758.3654961604898</v>
      </c>
      <c r="R122" s="311">
        <v>-3487.0321628271499</v>
      </c>
      <c r="S122" s="311">
        <v>-3215.6988294938201</v>
      </c>
      <c r="T122" s="311">
        <v>1628</v>
      </c>
      <c r="U122" s="311">
        <v>1628</v>
      </c>
      <c r="V122" s="311">
        <v>1628</v>
      </c>
    </row>
    <row r="123" spans="1:22" x14ac:dyDescent="0.15">
      <c r="A123" s="309" t="s">
        <v>59</v>
      </c>
      <c r="B123" s="310"/>
      <c r="C123" s="310"/>
      <c r="D123" s="310"/>
      <c r="E123" s="311"/>
      <c r="F123" s="311"/>
      <c r="G123" s="311"/>
      <c r="H123" s="311">
        <v>-46406</v>
      </c>
      <c r="I123" s="311">
        <f>H123</f>
        <v>-46406</v>
      </c>
      <c r="J123" s="311">
        <f t="shared" ref="J123" si="38">I123</f>
        <v>-46406</v>
      </c>
      <c r="K123" s="311">
        <v>-103161</v>
      </c>
      <c r="L123" s="310"/>
      <c r="M123" s="310"/>
      <c r="N123" s="311"/>
      <c r="O123" s="311"/>
      <c r="P123" s="311"/>
      <c r="Q123" s="311"/>
      <c r="R123" s="311"/>
      <c r="S123" s="311">
        <v>-17251</v>
      </c>
      <c r="T123" s="311">
        <v>-15795</v>
      </c>
      <c r="U123" s="311">
        <v>-14339</v>
      </c>
      <c r="V123" s="311">
        <v>-33720</v>
      </c>
    </row>
    <row r="124" spans="1:22" x14ac:dyDescent="0.15">
      <c r="A124" s="309" t="s">
        <v>61</v>
      </c>
      <c r="B124" s="310"/>
      <c r="C124" s="310"/>
      <c r="D124" s="310"/>
      <c r="E124" s="311"/>
      <c r="F124" s="311">
        <v>-4284</v>
      </c>
      <c r="G124" s="311">
        <f>F124</f>
        <v>-4284</v>
      </c>
      <c r="H124" s="311">
        <f t="shared" ref="H124" si="39">G124</f>
        <v>-4284</v>
      </c>
      <c r="I124" s="311"/>
      <c r="J124" s="311"/>
      <c r="K124" s="311"/>
      <c r="L124" s="310"/>
      <c r="M124" s="310"/>
      <c r="N124" s="311"/>
      <c r="O124" s="311"/>
      <c r="P124" s="311"/>
      <c r="Q124" s="311">
        <v>-2153</v>
      </c>
      <c r="R124" s="311">
        <v>-2026</v>
      </c>
      <c r="S124" s="311">
        <v>-1899</v>
      </c>
      <c r="T124" s="311">
        <v>381</v>
      </c>
      <c r="U124" s="311">
        <v>381</v>
      </c>
      <c r="V124" s="311">
        <v>381</v>
      </c>
    </row>
    <row r="125" spans="1:22" x14ac:dyDescent="0.15">
      <c r="A125" s="309" t="s">
        <v>111</v>
      </c>
      <c r="B125" s="311">
        <v>0</v>
      </c>
      <c r="C125" s="311">
        <v>-265.68446906538674</v>
      </c>
      <c r="D125" s="311">
        <v>-265.68446906538679</v>
      </c>
      <c r="E125" s="311">
        <v>-1594.1068143923203</v>
      </c>
      <c r="F125" s="311">
        <v>-1594.1068143923203</v>
      </c>
      <c r="G125" s="311">
        <v>-1859.7912834577069</v>
      </c>
      <c r="H125" s="311">
        <v>-2125.475752523093</v>
      </c>
      <c r="I125" s="311">
        <v>0</v>
      </c>
      <c r="J125" s="311">
        <v>0</v>
      </c>
      <c r="K125" s="311">
        <v>0</v>
      </c>
      <c r="L125" s="310">
        <v>0</v>
      </c>
      <c r="M125" s="310"/>
      <c r="N125" s="311">
        <v>-44.3155309346133</v>
      </c>
      <c r="O125" s="311">
        <v>-827.31553093461298</v>
      </c>
      <c r="P125" s="311">
        <v>-188.89318560767899</v>
      </c>
      <c r="Q125" s="311">
        <v>-122.893185607679</v>
      </c>
      <c r="R125" s="311">
        <v>-56.893185607679499</v>
      </c>
      <c r="S125" s="311">
        <v>-35.208716542292699</v>
      </c>
      <c r="T125" s="311">
        <v>41.791283457707301</v>
      </c>
      <c r="U125" s="311">
        <v>429</v>
      </c>
      <c r="V125" s="311">
        <v>429</v>
      </c>
    </row>
    <row r="126" spans="1:22" ht="24" x14ac:dyDescent="0.15">
      <c r="A126" s="309" t="s">
        <v>64</v>
      </c>
      <c r="B126" s="311">
        <v>-105</v>
      </c>
      <c r="C126" s="311">
        <v>-209</v>
      </c>
      <c r="D126" s="311">
        <f>C126</f>
        <v>-209</v>
      </c>
      <c r="E126" s="311">
        <f t="shared" ref="E126:I127" si="40">D126</f>
        <v>-209</v>
      </c>
      <c r="F126" s="311">
        <f t="shared" si="40"/>
        <v>-209</v>
      </c>
      <c r="G126" s="311">
        <f t="shared" si="40"/>
        <v>-209</v>
      </c>
      <c r="H126" s="311"/>
      <c r="I126" s="311"/>
      <c r="J126" s="311"/>
      <c r="K126" s="311"/>
      <c r="L126" s="310"/>
      <c r="M126" s="311">
        <v>-26.664664640449399</v>
      </c>
      <c r="N126" s="311">
        <v>-46.454329280898698</v>
      </c>
      <c r="O126" s="311">
        <v>-39.579329280898698</v>
      </c>
      <c r="P126" s="311">
        <v>-32.704329280898698</v>
      </c>
      <c r="Q126" s="311">
        <v>-25.829329280898701</v>
      </c>
      <c r="R126" s="311">
        <v>-18.954329280898701</v>
      </c>
      <c r="S126" s="311">
        <v>14.5853353595506</v>
      </c>
      <c r="T126" s="311">
        <v>41.25</v>
      </c>
      <c r="U126" s="311">
        <v>41.25</v>
      </c>
      <c r="V126" s="311">
        <v>41.25</v>
      </c>
    </row>
    <row r="127" spans="1:22" x14ac:dyDescent="0.15">
      <c r="A127" s="309" t="s">
        <v>66</v>
      </c>
      <c r="B127" s="311"/>
      <c r="C127" s="311"/>
      <c r="D127" s="311">
        <v>-1713</v>
      </c>
      <c r="E127" s="311">
        <f>D127</f>
        <v>-1713</v>
      </c>
      <c r="F127" s="311">
        <f t="shared" si="40"/>
        <v>-1713</v>
      </c>
      <c r="G127" s="311">
        <f t="shared" si="40"/>
        <v>-1713</v>
      </c>
      <c r="H127" s="311">
        <f t="shared" si="40"/>
        <v>-1713</v>
      </c>
      <c r="I127" s="311">
        <f t="shared" si="40"/>
        <v>-1713</v>
      </c>
      <c r="J127" s="311"/>
      <c r="K127" s="311"/>
      <c r="L127" s="310"/>
      <c r="M127" s="310"/>
      <c r="N127" s="311"/>
      <c r="O127" s="311">
        <v>-641.24841210698503</v>
      </c>
      <c r="P127" s="311">
        <v>-587.39424544031795</v>
      </c>
      <c r="Q127" s="311">
        <v>-533.540078773652</v>
      </c>
      <c r="R127" s="311">
        <v>-479.68591210698497</v>
      </c>
      <c r="S127" s="311">
        <v>-425.831745440318</v>
      </c>
      <c r="T127" s="311">
        <v>-371.977578773652</v>
      </c>
      <c r="U127" s="311">
        <v>323</v>
      </c>
      <c r="V127" s="311">
        <v>323</v>
      </c>
    </row>
    <row r="128" spans="1:22" x14ac:dyDescent="0.15">
      <c r="A128" s="309" t="s">
        <v>109</v>
      </c>
      <c r="B128" s="311"/>
      <c r="C128" s="311">
        <v>-34</v>
      </c>
      <c r="D128" s="311">
        <v>-34</v>
      </c>
      <c r="E128" s="311">
        <v>-34</v>
      </c>
      <c r="F128" s="311">
        <v>-479</v>
      </c>
      <c r="G128" s="311">
        <v>-479</v>
      </c>
      <c r="H128" s="311">
        <v>-583</v>
      </c>
      <c r="I128" s="311">
        <v>-445</v>
      </c>
      <c r="J128" s="311">
        <v>-445</v>
      </c>
      <c r="K128" s="311">
        <v>-445</v>
      </c>
      <c r="L128" s="310"/>
      <c r="M128" s="310"/>
      <c r="N128" s="311">
        <v>-9</v>
      </c>
      <c r="O128" s="311">
        <v>787</v>
      </c>
      <c r="P128" s="311">
        <v>-61</v>
      </c>
      <c r="Q128" s="311">
        <v>187</v>
      </c>
      <c r="R128" s="311">
        <v>147</v>
      </c>
      <c r="S128" s="311">
        <v>161</v>
      </c>
      <c r="T128" s="311">
        <v>495</v>
      </c>
      <c r="U128" s="311">
        <v>122</v>
      </c>
      <c r="V128" s="311">
        <v>134</v>
      </c>
    </row>
    <row r="129" spans="1:22" x14ac:dyDescent="0.15">
      <c r="A129" s="312"/>
      <c r="B129" s="313">
        <f t="shared" ref="B129" si="41">SUM(B121:B127)</f>
        <v>-105</v>
      </c>
      <c r="C129" s="313">
        <f>SUM(C121:C128)</f>
        <v>-13288.684469065387</v>
      </c>
      <c r="D129" s="313">
        <f t="shared" ref="D129:V129" si="42">SUM(D121:D128)</f>
        <v>-15001.684469065387</v>
      </c>
      <c r="E129" s="313">
        <f t="shared" si="42"/>
        <v>-16330.10681439232</v>
      </c>
      <c r="F129" s="313">
        <f t="shared" si="42"/>
        <v>-24287.106814392318</v>
      </c>
      <c r="G129" s="313">
        <f t="shared" si="42"/>
        <v>-24552.791283457707</v>
      </c>
      <c r="H129" s="313">
        <f t="shared" si="42"/>
        <v>-71119.475752523096</v>
      </c>
      <c r="I129" s="313">
        <f t="shared" si="42"/>
        <v>-51792</v>
      </c>
      <c r="J129" s="313">
        <f t="shared" si="42"/>
        <v>-50079</v>
      </c>
      <c r="K129" s="313">
        <f t="shared" si="42"/>
        <v>-106834</v>
      </c>
      <c r="L129" s="313">
        <f t="shared" si="42"/>
        <v>0</v>
      </c>
      <c r="M129" s="313">
        <f t="shared" si="42"/>
        <v>-26.664664640449399</v>
      </c>
      <c r="N129" s="313">
        <f t="shared" si="42"/>
        <v>-4672.1353563760013</v>
      </c>
      <c r="O129" s="313">
        <f t="shared" si="42"/>
        <v>-5022.1754351496465</v>
      </c>
      <c r="P129" s="313">
        <f t="shared" si="42"/>
        <v>-4899.6905898227151</v>
      </c>
      <c r="Q129" s="313">
        <f t="shared" si="42"/>
        <v>-7875.5225963310186</v>
      </c>
      <c r="R129" s="313">
        <f t="shared" si="42"/>
        <v>-7271.2934296643525</v>
      </c>
      <c r="S129" s="313">
        <f t="shared" si="42"/>
        <v>-23881.71512929185</v>
      </c>
      <c r="T129" s="313">
        <f t="shared" si="42"/>
        <v>-14691.330801824246</v>
      </c>
      <c r="U129" s="313">
        <f t="shared" si="42"/>
        <v>-12406.977839841637</v>
      </c>
      <c r="V129" s="313">
        <f t="shared" si="42"/>
        <v>-31656.811173174967</v>
      </c>
    </row>
    <row r="130" spans="1:22" x14ac:dyDescent="0.15">
      <c r="A130" s="314"/>
      <c r="B130" s="315">
        <f t="shared" ref="B130:V130" si="43">B79-B129</f>
        <v>0.41466464044938789</v>
      </c>
      <c r="C130" s="315">
        <f t="shared" si="43"/>
        <v>0.39719530679940362</v>
      </c>
      <c r="D130" s="315">
        <f t="shared" si="43"/>
        <v>0.47894074711803114</v>
      </c>
      <c r="E130" s="315">
        <f t="shared" si="43"/>
        <v>0.47894074711621215</v>
      </c>
      <c r="F130" s="315">
        <f t="shared" si="43"/>
        <v>0.34275011071804329</v>
      </c>
      <c r="G130" s="315">
        <f t="shared" si="43"/>
        <v>0.34275011072168127</v>
      </c>
      <c r="H130" s="315">
        <f t="shared" si="43"/>
        <v>0.25696237025840674</v>
      </c>
      <c r="I130" s="315">
        <f t="shared" si="43"/>
        <v>0.32663651555049</v>
      </c>
      <c r="J130" s="315">
        <f t="shared" si="43"/>
        <v>0.24489107522822451</v>
      </c>
      <c r="K130" s="315">
        <f t="shared" si="43"/>
        <v>-0.38080663591972552</v>
      </c>
      <c r="L130" s="315">
        <f t="shared" si="43"/>
        <v>0</v>
      </c>
      <c r="M130" s="315">
        <f t="shared" si="43"/>
        <v>0</v>
      </c>
      <c r="N130" s="315">
        <f t="shared" si="43"/>
        <v>0.46429680125493178</v>
      </c>
      <c r="O130" s="315">
        <f t="shared" si="43"/>
        <v>-0.43570319875016139</v>
      </c>
      <c r="P130" s="315">
        <f t="shared" si="43"/>
        <v>-0.33570319874979759</v>
      </c>
      <c r="Q130" s="315">
        <f t="shared" si="43"/>
        <v>0.27719154723672546</v>
      </c>
      <c r="R130" s="315">
        <f t="shared" si="43"/>
        <v>-0.45917272070801118</v>
      </c>
      <c r="S130" s="315">
        <f t="shared" si="43"/>
        <v>0.12445037934594438</v>
      </c>
      <c r="T130" s="315">
        <f t="shared" si="43"/>
        <v>0.11249864206365601</v>
      </c>
      <c r="U130" s="315">
        <f t="shared" si="43"/>
        <v>-0.46288456690308522</v>
      </c>
      <c r="V130" s="315">
        <f t="shared" si="43"/>
        <v>0.33781314422594733</v>
      </c>
    </row>
    <row r="131" spans="1:22" x14ac:dyDescent="0.15">
      <c r="A131" s="316" t="s">
        <v>112</v>
      </c>
      <c r="B131" s="8"/>
      <c r="C131" s="8"/>
      <c r="D131" s="8"/>
      <c r="E131" s="8"/>
      <c r="F131" s="8"/>
      <c r="G131" s="8"/>
      <c r="H131" s="8"/>
      <c r="I131" s="8"/>
      <c r="J131" s="8"/>
      <c r="K131" s="8"/>
      <c r="L131" s="8"/>
      <c r="M131" s="8"/>
      <c r="N131" s="8"/>
      <c r="O131" s="8"/>
      <c r="P131" s="8"/>
      <c r="Q131" s="8"/>
      <c r="R131" s="8"/>
      <c r="S131" s="8"/>
      <c r="T131" s="8"/>
      <c r="U131" s="8"/>
      <c r="V131" s="8"/>
    </row>
    <row r="132" spans="1:22" x14ac:dyDescent="0.15">
      <c r="A132" s="309" t="s">
        <v>68</v>
      </c>
      <c r="B132" s="310"/>
      <c r="C132" s="310"/>
      <c r="D132" s="310"/>
      <c r="E132" s="311"/>
      <c r="F132" s="311"/>
      <c r="G132" s="311"/>
      <c r="H132" s="311"/>
      <c r="I132" s="311"/>
      <c r="J132" s="311"/>
      <c r="K132" s="311"/>
      <c r="L132" s="310"/>
      <c r="M132" s="310">
        <v>0</v>
      </c>
      <c r="N132" s="311">
        <v>-2100</v>
      </c>
      <c r="O132" s="311">
        <v>-6190</v>
      </c>
      <c r="P132" s="311">
        <v>-10170</v>
      </c>
      <c r="Q132" s="311">
        <v>-14040</v>
      </c>
      <c r="R132" s="311">
        <v>-17800</v>
      </c>
      <c r="S132" s="311">
        <v>-21450</v>
      </c>
      <c r="T132" s="311">
        <v>-24990</v>
      </c>
      <c r="U132" s="311">
        <v>-28420</v>
      </c>
      <c r="V132" s="311">
        <v>-31740</v>
      </c>
    </row>
    <row r="133" spans="1:22" x14ac:dyDescent="0.15">
      <c r="A133" s="309" t="s">
        <v>70</v>
      </c>
      <c r="B133" s="310"/>
      <c r="C133" s="311"/>
      <c r="D133" s="311"/>
      <c r="E133" s="311"/>
      <c r="F133" s="311"/>
      <c r="G133" s="311"/>
      <c r="H133" s="311"/>
      <c r="I133" s="311"/>
      <c r="J133" s="311"/>
      <c r="K133" s="311"/>
      <c r="L133" s="310"/>
      <c r="M133" s="310"/>
      <c r="N133" s="311">
        <v>-262.5</v>
      </c>
      <c r="O133" s="311">
        <v>-511.25</v>
      </c>
      <c r="P133" s="311">
        <v>-497.5</v>
      </c>
      <c r="Q133" s="311">
        <v>-483.75</v>
      </c>
      <c r="R133" s="311">
        <v>-470</v>
      </c>
      <c r="S133" s="311">
        <v>-456.25</v>
      </c>
      <c r="T133" s="311">
        <v>-442.5</v>
      </c>
      <c r="U133" s="311">
        <v>-428.75</v>
      </c>
      <c r="V133" s="311">
        <v>-415</v>
      </c>
    </row>
    <row r="134" spans="1:22" ht="24" x14ac:dyDescent="0.15">
      <c r="A134" s="309" t="s">
        <v>72</v>
      </c>
      <c r="B134" s="310"/>
      <c r="C134" s="311"/>
      <c r="D134" s="311"/>
      <c r="E134" s="311"/>
      <c r="F134" s="311"/>
      <c r="G134" s="311"/>
      <c r="H134" s="311"/>
      <c r="I134" s="311"/>
      <c r="J134" s="311"/>
      <c r="K134" s="311"/>
      <c r="L134" s="310"/>
      <c r="M134" s="310"/>
      <c r="N134" s="311"/>
      <c r="O134" s="311">
        <v>-262.5</v>
      </c>
      <c r="P134" s="311">
        <v>-773.75</v>
      </c>
      <c r="Q134" s="311">
        <v>-1271.25</v>
      </c>
      <c r="R134" s="311">
        <v>-1755</v>
      </c>
      <c r="S134" s="311">
        <v>-1962.5</v>
      </c>
      <c r="T134" s="311">
        <v>-1907.5</v>
      </c>
      <c r="U134" s="311">
        <v>-1852.5</v>
      </c>
      <c r="V134" s="311">
        <v>-1797.5</v>
      </c>
    </row>
    <row r="135" spans="1:22" x14ac:dyDescent="0.15">
      <c r="A135" s="309" t="s">
        <v>67</v>
      </c>
      <c r="B135" s="310"/>
      <c r="C135" s="311"/>
      <c r="D135" s="311"/>
      <c r="E135" s="311"/>
      <c r="F135" s="311"/>
      <c r="G135" s="311"/>
      <c r="H135" s="311"/>
      <c r="I135" s="311"/>
      <c r="J135" s="311"/>
      <c r="K135" s="311"/>
      <c r="L135" s="310"/>
      <c r="M135" s="310"/>
      <c r="N135" s="311"/>
      <c r="O135" s="311"/>
      <c r="P135" s="311"/>
      <c r="Q135" s="311"/>
      <c r="R135" s="311">
        <v>-3086.6666666666702</v>
      </c>
      <c r="S135" s="311">
        <v>-6039.5</v>
      </c>
      <c r="T135" s="311">
        <v>-5905.6666666666697</v>
      </c>
      <c r="U135" s="311">
        <v>-2685.1666666666702</v>
      </c>
      <c r="V135" s="311">
        <v>401.5</v>
      </c>
    </row>
    <row r="136" spans="1:22" x14ac:dyDescent="0.15">
      <c r="A136" s="312"/>
      <c r="B136" s="313">
        <f t="shared" ref="B136:M136" si="44">SUM(B132:B135)</f>
        <v>0</v>
      </c>
      <c r="C136" s="313">
        <f t="shared" si="44"/>
        <v>0</v>
      </c>
      <c r="D136" s="313">
        <f t="shared" si="44"/>
        <v>0</v>
      </c>
      <c r="E136" s="313">
        <f t="shared" si="44"/>
        <v>0</v>
      </c>
      <c r="F136" s="313">
        <f t="shared" si="44"/>
        <v>0</v>
      </c>
      <c r="G136" s="313">
        <f t="shared" si="44"/>
        <v>0</v>
      </c>
      <c r="H136" s="313">
        <f t="shared" si="44"/>
        <v>0</v>
      </c>
      <c r="I136" s="313">
        <f t="shared" si="44"/>
        <v>0</v>
      </c>
      <c r="J136" s="313">
        <f t="shared" si="44"/>
        <v>0</v>
      </c>
      <c r="K136" s="313">
        <f t="shared" si="44"/>
        <v>0</v>
      </c>
      <c r="L136" s="313">
        <f t="shared" si="44"/>
        <v>0</v>
      </c>
      <c r="M136" s="313">
        <f t="shared" si="44"/>
        <v>0</v>
      </c>
      <c r="N136" s="313">
        <f>SUM(N132:N135)</f>
        <v>-2362.5</v>
      </c>
      <c r="O136" s="313">
        <f t="shared" ref="O136:V136" si="45">SUM(O132:O135)</f>
        <v>-6963.75</v>
      </c>
      <c r="P136" s="313">
        <f t="shared" si="45"/>
        <v>-11441.25</v>
      </c>
      <c r="Q136" s="313">
        <f t="shared" si="45"/>
        <v>-15795</v>
      </c>
      <c r="R136" s="313">
        <f t="shared" si="45"/>
        <v>-23111.666666666672</v>
      </c>
      <c r="S136" s="313">
        <f t="shared" si="45"/>
        <v>-29908.25</v>
      </c>
      <c r="T136" s="313">
        <f t="shared" si="45"/>
        <v>-33245.666666666672</v>
      </c>
      <c r="U136" s="313">
        <f t="shared" si="45"/>
        <v>-33386.416666666672</v>
      </c>
      <c r="V136" s="313">
        <f t="shared" si="45"/>
        <v>-33551</v>
      </c>
    </row>
    <row r="137" spans="1:22" x14ac:dyDescent="0.15">
      <c r="A137" s="314"/>
      <c r="B137" s="315">
        <f t="shared" ref="B137:V137" si="46">B86-B136</f>
        <v>0</v>
      </c>
      <c r="C137" s="315">
        <f t="shared" si="46"/>
        <v>0</v>
      </c>
      <c r="D137" s="315">
        <f t="shared" si="46"/>
        <v>0</v>
      </c>
      <c r="E137" s="315">
        <f t="shared" si="46"/>
        <v>0</v>
      </c>
      <c r="F137" s="315">
        <f t="shared" si="46"/>
        <v>0</v>
      </c>
      <c r="G137" s="315">
        <f t="shared" si="46"/>
        <v>0</v>
      </c>
      <c r="H137" s="315">
        <f t="shared" si="46"/>
        <v>0</v>
      </c>
      <c r="I137" s="315">
        <f t="shared" si="46"/>
        <v>0</v>
      </c>
      <c r="J137" s="315">
        <f t="shared" si="46"/>
        <v>0</v>
      </c>
      <c r="K137" s="315">
        <f t="shared" si="46"/>
        <v>0</v>
      </c>
      <c r="L137" s="315">
        <f t="shared" si="46"/>
        <v>0</v>
      </c>
      <c r="M137" s="315">
        <f t="shared" si="46"/>
        <v>0</v>
      </c>
      <c r="N137" s="315">
        <f t="shared" si="46"/>
        <v>0</v>
      </c>
      <c r="O137" s="315">
        <f t="shared" si="46"/>
        <v>0</v>
      </c>
      <c r="P137" s="315">
        <f t="shared" si="46"/>
        <v>0</v>
      </c>
      <c r="Q137" s="315">
        <f t="shared" si="46"/>
        <v>0</v>
      </c>
      <c r="R137" s="315">
        <f t="shared" si="46"/>
        <v>0</v>
      </c>
      <c r="S137" s="315">
        <f t="shared" si="46"/>
        <v>0</v>
      </c>
      <c r="T137" s="315">
        <f t="shared" si="46"/>
        <v>0</v>
      </c>
      <c r="U137" s="315">
        <f t="shared" si="46"/>
        <v>0</v>
      </c>
      <c r="V137" s="315">
        <f t="shared" si="46"/>
        <v>0</v>
      </c>
    </row>
    <row r="138" spans="1:22" x14ac:dyDescent="0.15">
      <c r="A138" s="314"/>
      <c r="B138" s="315"/>
      <c r="C138" s="315"/>
      <c r="D138" s="315"/>
      <c r="E138" s="315"/>
      <c r="F138" s="315"/>
      <c r="G138" s="315"/>
      <c r="H138" s="315"/>
      <c r="I138" s="315"/>
      <c r="J138" s="315"/>
      <c r="K138" s="315"/>
      <c r="L138" s="315"/>
      <c r="M138" s="315"/>
      <c r="N138" s="315"/>
      <c r="O138" s="315"/>
      <c r="P138" s="315"/>
      <c r="Q138" s="315"/>
      <c r="R138" s="315"/>
      <c r="S138" s="315"/>
      <c r="T138" s="315"/>
      <c r="U138" s="315"/>
      <c r="V138" s="315"/>
    </row>
    <row r="139" spans="1:22" s="3" customFormat="1" x14ac:dyDescent="0.15">
      <c r="A139" s="317" t="s">
        <v>113</v>
      </c>
      <c r="B139" s="318"/>
      <c r="C139" s="318"/>
      <c r="D139" s="318"/>
      <c r="E139" s="318"/>
      <c r="F139" s="318"/>
      <c r="G139" s="318"/>
      <c r="H139" s="318"/>
      <c r="I139" s="318"/>
      <c r="J139" s="318"/>
      <c r="K139" s="318"/>
      <c r="L139" s="318"/>
      <c r="M139" s="318"/>
      <c r="N139" s="318"/>
      <c r="O139" s="318"/>
      <c r="P139" s="318"/>
      <c r="Q139" s="318"/>
      <c r="R139" s="318"/>
      <c r="S139" s="318"/>
      <c r="T139" s="318"/>
      <c r="U139" s="318"/>
      <c r="V139" s="318"/>
    </row>
    <row r="140" spans="1:22" x14ac:dyDescent="0.15">
      <c r="A140" s="319" t="s">
        <v>114</v>
      </c>
      <c r="B140" s="311">
        <f t="shared" ref="B140:V140" si="47">B95+B104+B111+B118+B129</f>
        <v>-105</v>
      </c>
      <c r="C140" s="311">
        <f t="shared" si="47"/>
        <v>-19156.684469065389</v>
      </c>
      <c r="D140" s="311">
        <f t="shared" si="47"/>
        <v>-21339.684469065389</v>
      </c>
      <c r="E140" s="311">
        <f t="shared" si="47"/>
        <v>1505.1194882658292</v>
      </c>
      <c r="F140" s="311">
        <f t="shared" si="47"/>
        <v>-36747.725232274854</v>
      </c>
      <c r="G140" s="311">
        <f t="shared" si="47"/>
        <v>-70751.40970134025</v>
      </c>
      <c r="H140" s="311">
        <f t="shared" si="47"/>
        <v>-94010.867867747482</v>
      </c>
      <c r="I140" s="311">
        <f t="shared" si="47"/>
        <v>-68111.392115224386</v>
      </c>
      <c r="J140" s="311">
        <f t="shared" si="47"/>
        <v>-57850.23683576507</v>
      </c>
      <c r="K140" s="311">
        <f t="shared" si="47"/>
        <v>-105980.23683576507</v>
      </c>
      <c r="L140" s="311">
        <f t="shared" si="47"/>
        <v>0</v>
      </c>
      <c r="M140" s="311">
        <f t="shared" si="47"/>
        <v>-26.664664640449399</v>
      </c>
      <c r="N140" s="311">
        <f t="shared" si="47"/>
        <v>-6824.4952496436372</v>
      </c>
      <c r="O140" s="311">
        <f t="shared" si="47"/>
        <v>-7622.1563831551684</v>
      </c>
      <c r="P140" s="311">
        <f t="shared" si="47"/>
        <v>1876.4125761802807</v>
      </c>
      <c r="Q140" s="311">
        <f t="shared" si="47"/>
        <v>-16478.582859125971</v>
      </c>
      <c r="R140" s="311">
        <f t="shared" si="47"/>
        <v>-27970.131160719844</v>
      </c>
      <c r="S140" s="311">
        <f t="shared" si="47"/>
        <v>-34705.304154046557</v>
      </c>
      <c r="T140" s="311">
        <f t="shared" si="47"/>
        <v>-22328.582628573426</v>
      </c>
      <c r="U140" s="311">
        <f t="shared" si="47"/>
        <v>-15680.775776300157</v>
      </c>
      <c r="V140" s="311">
        <f t="shared" si="47"/>
        <v>-31575.559118592435</v>
      </c>
    </row>
    <row r="141" spans="1:22" x14ac:dyDescent="0.15">
      <c r="A141" s="319" t="s">
        <v>53</v>
      </c>
      <c r="B141" s="311">
        <f>B136</f>
        <v>0</v>
      </c>
      <c r="C141" s="311">
        <f t="shared" ref="C141:V141" si="48">C136</f>
        <v>0</v>
      </c>
      <c r="D141" s="311">
        <f t="shared" si="48"/>
        <v>0</v>
      </c>
      <c r="E141" s="311">
        <f t="shared" si="48"/>
        <v>0</v>
      </c>
      <c r="F141" s="311">
        <f t="shared" si="48"/>
        <v>0</v>
      </c>
      <c r="G141" s="311">
        <f t="shared" si="48"/>
        <v>0</v>
      </c>
      <c r="H141" s="311">
        <f t="shared" si="48"/>
        <v>0</v>
      </c>
      <c r="I141" s="311">
        <f t="shared" si="48"/>
        <v>0</v>
      </c>
      <c r="J141" s="311">
        <f t="shared" si="48"/>
        <v>0</v>
      </c>
      <c r="K141" s="311">
        <f t="shared" si="48"/>
        <v>0</v>
      </c>
      <c r="L141" s="311">
        <f t="shared" si="48"/>
        <v>0</v>
      </c>
      <c r="M141" s="311">
        <f t="shared" si="48"/>
        <v>0</v>
      </c>
      <c r="N141" s="311">
        <f t="shared" si="48"/>
        <v>-2362.5</v>
      </c>
      <c r="O141" s="311">
        <f t="shared" si="48"/>
        <v>-6963.75</v>
      </c>
      <c r="P141" s="311">
        <f t="shared" si="48"/>
        <v>-11441.25</v>
      </c>
      <c r="Q141" s="311">
        <f t="shared" si="48"/>
        <v>-15795</v>
      </c>
      <c r="R141" s="311">
        <f t="shared" si="48"/>
        <v>-23111.666666666672</v>
      </c>
      <c r="S141" s="311">
        <f t="shared" si="48"/>
        <v>-29908.25</v>
      </c>
      <c r="T141" s="311">
        <f t="shared" si="48"/>
        <v>-33245.666666666672</v>
      </c>
      <c r="U141" s="311">
        <f t="shared" si="48"/>
        <v>-33386.416666666672</v>
      </c>
      <c r="V141" s="311">
        <f t="shared" si="48"/>
        <v>-33551</v>
      </c>
    </row>
    <row r="142" spans="1:22" ht="24" x14ac:dyDescent="0.15">
      <c r="A142" s="320" t="s">
        <v>115</v>
      </c>
      <c r="B142" s="321">
        <f>SUM(B140:B141)</f>
        <v>-105</v>
      </c>
      <c r="C142" s="321">
        <f t="shared" ref="C142:V142" si="49">SUM(C140:C141)</f>
        <v>-19156.684469065389</v>
      </c>
      <c r="D142" s="321">
        <f t="shared" si="49"/>
        <v>-21339.684469065389</v>
      </c>
      <c r="E142" s="321">
        <f t="shared" si="49"/>
        <v>1505.1194882658292</v>
      </c>
      <c r="F142" s="321">
        <f t="shared" si="49"/>
        <v>-36747.725232274854</v>
      </c>
      <c r="G142" s="321">
        <f t="shared" si="49"/>
        <v>-70751.40970134025</v>
      </c>
      <c r="H142" s="321">
        <f t="shared" si="49"/>
        <v>-94010.867867747482</v>
      </c>
      <c r="I142" s="321">
        <f t="shared" si="49"/>
        <v>-68111.392115224386</v>
      </c>
      <c r="J142" s="321">
        <f t="shared" si="49"/>
        <v>-57850.23683576507</v>
      </c>
      <c r="K142" s="321">
        <f t="shared" si="49"/>
        <v>-105980.23683576507</v>
      </c>
      <c r="L142" s="321">
        <f t="shared" si="49"/>
        <v>0</v>
      </c>
      <c r="M142" s="321">
        <f t="shared" si="49"/>
        <v>-26.664664640449399</v>
      </c>
      <c r="N142" s="321">
        <f t="shared" si="49"/>
        <v>-9186.9952496436381</v>
      </c>
      <c r="O142" s="321">
        <f t="shared" si="49"/>
        <v>-14585.906383155168</v>
      </c>
      <c r="P142" s="321">
        <f t="shared" si="49"/>
        <v>-9564.8374238197193</v>
      </c>
      <c r="Q142" s="321">
        <f t="shared" si="49"/>
        <v>-32273.582859125971</v>
      </c>
      <c r="R142" s="321">
        <f t="shared" si="49"/>
        <v>-51081.797827386516</v>
      </c>
      <c r="S142" s="321">
        <f t="shared" si="49"/>
        <v>-64613.554154046557</v>
      </c>
      <c r="T142" s="321">
        <f t="shared" si="49"/>
        <v>-55574.249295240093</v>
      </c>
      <c r="U142" s="321">
        <f t="shared" si="49"/>
        <v>-49067.192442966829</v>
      </c>
      <c r="V142" s="321">
        <f t="shared" si="49"/>
        <v>-65126.559118592435</v>
      </c>
    </row>
    <row r="143" spans="1:22" x14ac:dyDescent="0.15">
      <c r="A143" s="319" t="s">
        <v>116</v>
      </c>
      <c r="B143" s="311"/>
      <c r="C143" s="311">
        <f>C142-B142</f>
        <v>-19051.684469065389</v>
      </c>
      <c r="D143" s="311">
        <f t="shared" ref="D143:V143" si="50">D142-C142</f>
        <v>-2183</v>
      </c>
      <c r="E143" s="311">
        <f t="shared" si="50"/>
        <v>22844.80395733122</v>
      </c>
      <c r="F143" s="311">
        <f t="shared" si="50"/>
        <v>-38252.844720540685</v>
      </c>
      <c r="G143" s="311">
        <f t="shared" si="50"/>
        <v>-34003.684469065396</v>
      </c>
      <c r="H143" s="311">
        <f t="shared" si="50"/>
        <v>-23259.458166407232</v>
      </c>
      <c r="I143" s="311">
        <f t="shared" si="50"/>
        <v>25899.475752523096</v>
      </c>
      <c r="J143" s="311">
        <f t="shared" si="50"/>
        <v>10261.155279459315</v>
      </c>
      <c r="K143" s="311">
        <f t="shared" si="50"/>
        <v>-48130</v>
      </c>
      <c r="L143" s="311"/>
      <c r="M143" s="311">
        <f>M142-L142</f>
        <v>-26.664664640449399</v>
      </c>
      <c r="N143" s="311">
        <f t="shared" si="50"/>
        <v>-9160.3305850031884</v>
      </c>
      <c r="O143" s="311">
        <f t="shared" si="50"/>
        <v>-5398.9111335115304</v>
      </c>
      <c r="P143" s="311">
        <f t="shared" si="50"/>
        <v>5021.0689593354491</v>
      </c>
      <c r="Q143" s="311">
        <f t="shared" si="50"/>
        <v>-22708.745435306249</v>
      </c>
      <c r="R143" s="311">
        <f>R142-Q142</f>
        <v>-18808.214968260545</v>
      </c>
      <c r="S143" s="311">
        <f t="shared" si="50"/>
        <v>-13531.756326660041</v>
      </c>
      <c r="T143" s="311">
        <f t="shared" si="50"/>
        <v>9039.304858806463</v>
      </c>
      <c r="U143" s="311">
        <f t="shared" si="50"/>
        <v>6507.0568522732647</v>
      </c>
      <c r="V143" s="311">
        <f t="shared" si="50"/>
        <v>-16059.366675625606</v>
      </c>
    </row>
    <row r="144" spans="1:22" x14ac:dyDescent="0.15">
      <c r="A144" s="322"/>
      <c r="B144" s="323"/>
      <c r="C144" s="323"/>
      <c r="D144" s="323"/>
      <c r="E144" s="323"/>
      <c r="F144" s="323"/>
      <c r="G144" s="323"/>
      <c r="H144" s="323"/>
      <c r="I144" s="323"/>
      <c r="J144" s="323"/>
      <c r="K144" s="323"/>
      <c r="L144" s="323"/>
      <c r="M144" s="323"/>
      <c r="N144" s="323"/>
      <c r="O144" s="323"/>
      <c r="P144" s="323"/>
      <c r="Q144" s="323"/>
      <c r="R144" s="323"/>
      <c r="S144" s="323"/>
      <c r="T144" s="323"/>
      <c r="U144" s="323"/>
      <c r="V144" s="323"/>
    </row>
    <row r="145" spans="1:22" x14ac:dyDescent="0.15">
      <c r="A145" s="322"/>
      <c r="B145" s="323"/>
      <c r="C145" s="323"/>
      <c r="D145" s="323"/>
      <c r="E145" s="323"/>
      <c r="F145" s="323"/>
      <c r="G145" s="323"/>
      <c r="H145" s="323"/>
      <c r="I145" s="323"/>
      <c r="J145" s="323"/>
      <c r="K145" s="323"/>
      <c r="L145" s="323"/>
      <c r="M145" s="323"/>
      <c r="N145" s="323"/>
      <c r="O145" s="323"/>
      <c r="P145" s="323"/>
      <c r="Q145" s="323"/>
      <c r="R145" s="323"/>
      <c r="S145" s="323"/>
      <c r="T145" s="323"/>
      <c r="U145" s="323"/>
      <c r="V145" s="323"/>
    </row>
    <row r="146" spans="1:22" x14ac:dyDescent="0.15">
      <c r="A146" s="369" t="s">
        <v>117</v>
      </c>
      <c r="B146" s="370"/>
      <c r="C146" s="370"/>
      <c r="D146" s="323"/>
      <c r="E146" s="323"/>
      <c r="F146" s="323"/>
      <c r="G146" s="323"/>
      <c r="H146" s="323"/>
      <c r="I146" s="323"/>
      <c r="J146" s="323"/>
      <c r="K146" s="323"/>
      <c r="L146" s="323"/>
      <c r="M146" s="323"/>
      <c r="N146" s="323"/>
      <c r="O146" s="323"/>
      <c r="P146" s="323"/>
      <c r="Q146" s="323"/>
      <c r="R146" s="323"/>
      <c r="S146" s="323"/>
      <c r="T146" s="323"/>
      <c r="U146" s="323"/>
      <c r="V146" s="323"/>
    </row>
    <row r="147" spans="1:22" x14ac:dyDescent="0.15">
      <c r="A147" s="310"/>
      <c r="B147" s="324">
        <v>2018</v>
      </c>
      <c r="C147" s="324">
        <v>2019</v>
      </c>
      <c r="D147" s="324">
        <v>2020</v>
      </c>
      <c r="E147" s="324">
        <v>2021</v>
      </c>
      <c r="F147" s="324">
        <v>2022</v>
      </c>
      <c r="G147" s="324">
        <v>2023</v>
      </c>
      <c r="H147" s="324">
        <v>2024</v>
      </c>
      <c r="I147" s="324">
        <v>2025</v>
      </c>
      <c r="J147" s="324">
        <v>2026</v>
      </c>
      <c r="K147" s="324">
        <v>2027</v>
      </c>
      <c r="L147" s="8"/>
      <c r="M147" s="8"/>
      <c r="N147" s="8"/>
      <c r="O147" s="8"/>
      <c r="P147" s="8"/>
      <c r="Q147" s="8"/>
      <c r="R147" s="8"/>
      <c r="S147" s="8"/>
      <c r="T147" s="8"/>
      <c r="U147" s="8"/>
      <c r="V147" s="8"/>
    </row>
    <row r="148" spans="1:22" ht="24" x14ac:dyDescent="0.15">
      <c r="A148" s="325" t="s">
        <v>118</v>
      </c>
      <c r="B148" s="311">
        <f t="shared" ref="B148:K148" si="51">B142+M142</f>
        <v>-131.66466464044939</v>
      </c>
      <c r="C148" s="311">
        <f t="shared" si="51"/>
        <v>-28343.679718709027</v>
      </c>
      <c r="D148" s="311">
        <f t="shared" si="51"/>
        <v>-35925.590852220557</v>
      </c>
      <c r="E148" s="311">
        <f t="shared" si="51"/>
        <v>-8059.7179355538901</v>
      </c>
      <c r="F148" s="311">
        <f t="shared" si="51"/>
        <v>-69021.308091400831</v>
      </c>
      <c r="G148" s="311">
        <f t="shared" si="51"/>
        <v>-121833.20752872677</v>
      </c>
      <c r="H148" s="311">
        <f t="shared" si="51"/>
        <v>-158624.42202179405</v>
      </c>
      <c r="I148" s="311">
        <f t="shared" si="51"/>
        <v>-123685.64141046448</v>
      </c>
      <c r="J148" s="311">
        <f t="shared" si="51"/>
        <v>-106917.4292787319</v>
      </c>
      <c r="K148" s="311">
        <f t="shared" si="51"/>
        <v>-171106.79595435751</v>
      </c>
      <c r="L148" s="318"/>
      <c r="M148" s="8"/>
      <c r="N148" s="8"/>
      <c r="O148" s="8"/>
      <c r="P148" s="8"/>
      <c r="Q148" s="8"/>
      <c r="R148" s="8"/>
      <c r="S148" s="8"/>
      <c r="T148" s="8"/>
      <c r="U148" s="8"/>
      <c r="V148" s="8"/>
    </row>
    <row r="149" spans="1:22" s="4" customFormat="1" ht="24" x14ac:dyDescent="0.15">
      <c r="A149" s="309" t="s">
        <v>119</v>
      </c>
      <c r="B149" s="324"/>
      <c r="C149" s="321">
        <f>C148-B148</f>
        <v>-28212.015054068579</v>
      </c>
      <c r="D149" s="321">
        <f t="shared" ref="D149:K149" si="52">D148-C148</f>
        <v>-7581.9111335115304</v>
      </c>
      <c r="E149" s="321">
        <f t="shared" si="52"/>
        <v>27865.872916666667</v>
      </c>
      <c r="F149" s="321">
        <f t="shared" si="52"/>
        <v>-60961.590155846941</v>
      </c>
      <c r="G149" s="321">
        <f t="shared" si="52"/>
        <v>-52811.899437325934</v>
      </c>
      <c r="H149" s="321">
        <f t="shared" si="52"/>
        <v>-36791.21449306728</v>
      </c>
      <c r="I149" s="321">
        <f t="shared" si="52"/>
        <v>34938.780611329566</v>
      </c>
      <c r="J149" s="321">
        <f t="shared" si="52"/>
        <v>16768.21213173258</v>
      </c>
      <c r="K149" s="321">
        <f t="shared" si="52"/>
        <v>-64189.366675625613</v>
      </c>
      <c r="L149" s="317"/>
      <c r="M149" s="317"/>
      <c r="N149" s="317"/>
      <c r="O149" s="317"/>
      <c r="P149" s="317"/>
      <c r="Q149" s="317"/>
      <c r="R149" s="317"/>
      <c r="S149" s="317"/>
      <c r="T149" s="317"/>
      <c r="U149" s="317"/>
      <c r="V149" s="317"/>
    </row>
    <row r="150" spans="1:22" x14ac:dyDescent="0.15">
      <c r="R150"/>
    </row>
    <row r="151" spans="1:22" x14ac:dyDescent="0.15">
      <c r="R151"/>
    </row>
    <row r="152" spans="1:22" s="44" customFormat="1" x14ac:dyDescent="0.15"/>
    <row r="153" spans="1:22" x14ac:dyDescent="0.15">
      <c r="R153"/>
    </row>
    <row r="154" spans="1:22" x14ac:dyDescent="0.15">
      <c r="R154"/>
    </row>
    <row r="155" spans="1:22" x14ac:dyDescent="0.15">
      <c r="A155" s="45" t="s">
        <v>120</v>
      </c>
    </row>
    <row r="156" spans="1:22" x14ac:dyDescent="0.15">
      <c r="A156" s="4"/>
      <c r="B156" s="4">
        <v>2018</v>
      </c>
      <c r="C156" s="4">
        <v>2019</v>
      </c>
      <c r="D156" s="4">
        <v>2020</v>
      </c>
      <c r="E156" s="4">
        <v>2021</v>
      </c>
      <c r="F156" s="4">
        <v>2022</v>
      </c>
      <c r="G156" s="4">
        <v>2023</v>
      </c>
      <c r="H156" s="4" t="s">
        <v>121</v>
      </c>
    </row>
    <row r="157" spans="1:22" x14ac:dyDescent="0.15">
      <c r="A157" t="s">
        <v>122</v>
      </c>
      <c r="B157" s="2" t="e">
        <f>'[1]Inv plan 2018-2027 sekretess'!L89+'[1]Inv plan 2018-2027 sekretess'!L102-'[1]Inv plan 2018-2027 sekretess'!L59</f>
        <v>#REF!</v>
      </c>
      <c r="C157" s="2" t="e">
        <f>'[1]Inv plan 2018-2027 sekretess'!M89+'[1]Inv plan 2018-2027 sekretess'!M102-'[1]Inv plan 2018-2027 sekretess'!M59</f>
        <v>#REF!</v>
      </c>
      <c r="D157" s="2" t="e">
        <f>'[1]Inv plan 2018-2027 sekretess'!N89+'[1]Inv plan 2018-2027 sekretess'!N102-'[1]Inv plan 2018-2027 sekretess'!N59</f>
        <v>#REF!</v>
      </c>
      <c r="E157" s="2" t="e">
        <f>'[1]Inv plan 2018-2027 sekretess'!P89+'[1]Inv plan 2018-2027 sekretess'!P102-'[1]Inv plan 2018-2027 sekretess'!P59</f>
        <v>#REF!</v>
      </c>
      <c r="F157" s="2" t="e">
        <f>'[1]Inv plan 2018-2027 sekretess'!Q89+'[1]Inv plan 2018-2027 sekretess'!Q102-'[1]Inv plan 2018-2027 sekretess'!Q59</f>
        <v>#REF!</v>
      </c>
      <c r="G157" s="2" t="e">
        <f>'[1]Inv plan 2018-2027 sekretess'!R89+'[1]Inv plan 2018-2027 sekretess'!R102-'[1]Inv plan 2018-2027 sekretess'!R59</f>
        <v>#REF!</v>
      </c>
    </row>
    <row r="158" spans="1:22" x14ac:dyDescent="0.15">
      <c r="A158" t="s">
        <v>123</v>
      </c>
      <c r="B158" s="2">
        <v>811000</v>
      </c>
      <c r="C158" s="2">
        <v>336000</v>
      </c>
      <c r="D158" s="46">
        <f>603000-120000</f>
        <v>483000</v>
      </c>
      <c r="E158" s="2">
        <v>522000</v>
      </c>
      <c r="F158" s="2">
        <v>307000</v>
      </c>
      <c r="G158" s="2">
        <v>196000</v>
      </c>
    </row>
    <row r="159" spans="1:22" x14ac:dyDescent="0.15">
      <c r="A159" s="44" t="s">
        <v>124</v>
      </c>
      <c r="B159" s="47" t="e">
        <f>B157-B158</f>
        <v>#REF!</v>
      </c>
      <c r="C159" s="47" t="e">
        <f t="shared" ref="C159:G159" si="53">C157-C158</f>
        <v>#REF!</v>
      </c>
      <c r="D159" s="47" t="e">
        <f t="shared" si="53"/>
        <v>#REF!</v>
      </c>
      <c r="E159" s="47" t="e">
        <f t="shared" si="53"/>
        <v>#REF!</v>
      </c>
      <c r="F159" s="47" t="e">
        <f t="shared" si="53"/>
        <v>#REF!</v>
      </c>
      <c r="G159" s="47" t="e">
        <f t="shared" si="53"/>
        <v>#REF!</v>
      </c>
      <c r="H159" s="44"/>
    </row>
    <row r="162" spans="1:18" x14ac:dyDescent="0.15">
      <c r="A162" t="s">
        <v>125</v>
      </c>
      <c r="B162" s="2" t="e">
        <f>'[1]Inv plan 2018-2027 sekretess'!L138-'[1]Inv plan 2018-2027 sekretess'!L135-'[1]Inv plan 2018-2027 sekretess'!L136</f>
        <v>#REF!</v>
      </c>
      <c r="C162" s="2" t="e">
        <f>'[1]Inv plan 2018-2027 sekretess'!M138-'[1]Inv plan 2018-2027 sekretess'!M135-'[1]Inv plan 2018-2027 sekretess'!M136</f>
        <v>#REF!</v>
      </c>
      <c r="D162" s="2" t="e">
        <f>'[1]Inv plan 2018-2027 sekretess'!N138-'[1]Inv plan 2018-2027 sekretess'!N135-'[1]Inv plan 2018-2027 sekretess'!N136</f>
        <v>#REF!</v>
      </c>
      <c r="E162" s="2" t="e">
        <f>'[1]Inv plan 2018-2027 sekretess'!P138-'[1]Inv plan 2018-2027 sekretess'!P135-'[1]Inv plan 2018-2027 sekretess'!P136</f>
        <v>#REF!</v>
      </c>
      <c r="F162" s="2" t="e">
        <f>'[1]Inv plan 2018-2027 sekretess'!Q138-'[1]Inv plan 2018-2027 sekretess'!Q135-'[1]Inv plan 2018-2027 sekretess'!Q136</f>
        <v>#REF!</v>
      </c>
      <c r="G162" s="2" t="e">
        <f>'[1]Inv plan 2018-2027 sekretess'!R138-'[1]Inv plan 2018-2027 sekretess'!R135-'[1]Inv plan 2018-2027 sekretess'!R136</f>
        <v>#REF!</v>
      </c>
    </row>
    <row r="163" spans="1:18" x14ac:dyDescent="0.15">
      <c r="A163" t="s">
        <v>123</v>
      </c>
      <c r="B163">
        <v>46000</v>
      </c>
      <c r="C163">
        <v>37000</v>
      </c>
      <c r="D163">
        <v>15000</v>
      </c>
      <c r="E163">
        <v>0</v>
      </c>
      <c r="F163">
        <v>0</v>
      </c>
      <c r="G163">
        <v>0</v>
      </c>
    </row>
    <row r="166" spans="1:18" x14ac:dyDescent="0.15">
      <c r="A166" t="s">
        <v>126</v>
      </c>
      <c r="B166">
        <v>0</v>
      </c>
      <c r="C166">
        <v>0</v>
      </c>
      <c r="D166">
        <v>0</v>
      </c>
      <c r="E166">
        <v>0</v>
      </c>
      <c r="F166">
        <v>0</v>
      </c>
      <c r="G166">
        <v>0</v>
      </c>
    </row>
    <row r="167" spans="1:18" x14ac:dyDescent="0.15">
      <c r="A167" t="s">
        <v>123</v>
      </c>
      <c r="B167">
        <v>0</v>
      </c>
      <c r="C167">
        <v>0</v>
      </c>
      <c r="D167">
        <v>0</v>
      </c>
      <c r="E167">
        <v>0</v>
      </c>
      <c r="F167">
        <v>0</v>
      </c>
      <c r="G167">
        <v>0</v>
      </c>
    </row>
    <row r="170" spans="1:18" x14ac:dyDescent="0.15">
      <c r="A170" t="s">
        <v>127</v>
      </c>
      <c r="B170" s="2" t="e">
        <f>'[1]Inv plan 2018-2027 sekretess'!L113</f>
        <v>#REF!</v>
      </c>
      <c r="C170" s="2" t="e">
        <f>'[1]Inv plan 2018-2027 sekretess'!M113</f>
        <v>#REF!</v>
      </c>
      <c r="D170" s="2" t="e">
        <f>'[1]Inv plan 2018-2027 sekretess'!N113</f>
        <v>#REF!</v>
      </c>
      <c r="E170" s="2" t="e">
        <f>'[1]Inv plan 2018-2027 sekretess'!P113</f>
        <v>#REF!</v>
      </c>
      <c r="F170" s="2" t="e">
        <f>'[1]Inv plan 2018-2027 sekretess'!Q113</f>
        <v>#REF!</v>
      </c>
      <c r="G170" s="2" t="e">
        <f>'[1]Inv plan 2018-2027 sekretess'!R113</f>
        <v>#REF!</v>
      </c>
    </row>
    <row r="171" spans="1:18" s="4" customFormat="1" x14ac:dyDescent="0.15">
      <c r="A171" t="s">
        <v>123</v>
      </c>
      <c r="B171">
        <v>0</v>
      </c>
      <c r="C171">
        <v>0</v>
      </c>
      <c r="D171">
        <v>0</v>
      </c>
      <c r="E171">
        <v>0</v>
      </c>
      <c r="F171">
        <v>0</v>
      </c>
      <c r="G171">
        <v>0</v>
      </c>
      <c r="H171"/>
      <c r="R171" s="48"/>
    </row>
    <row r="174" spans="1:18" x14ac:dyDescent="0.15">
      <c r="A174" t="s">
        <v>128</v>
      </c>
      <c r="B174" s="2" t="e">
        <f>'[1]Inv plan 2018-2027 sekretess'!L157</f>
        <v>#REF!</v>
      </c>
      <c r="C174" s="2" t="e">
        <f>'[1]Inv plan 2018-2027 sekretess'!M157</f>
        <v>#REF!</v>
      </c>
      <c r="D174" s="2" t="e">
        <f>'[1]Inv plan 2018-2027 sekretess'!N157</f>
        <v>#REF!</v>
      </c>
      <c r="E174" s="2" t="e">
        <f>'[1]Inv plan 2018-2027 sekretess'!P157</f>
        <v>#REF!</v>
      </c>
      <c r="F174" s="2" t="e">
        <f>'[1]Inv plan 2018-2027 sekretess'!Q157</f>
        <v>#REF!</v>
      </c>
      <c r="G174" s="2" t="e">
        <f>'[1]Inv plan 2018-2027 sekretess'!R157</f>
        <v>#REF!</v>
      </c>
    </row>
    <row r="175" spans="1:18" x14ac:dyDescent="0.15">
      <c r="A175" t="s">
        <v>123</v>
      </c>
      <c r="B175" s="2">
        <v>245000</v>
      </c>
      <c r="C175" s="2">
        <v>184000</v>
      </c>
      <c r="D175" s="2">
        <v>150000</v>
      </c>
      <c r="E175" s="2">
        <v>148000</v>
      </c>
      <c r="F175" s="2">
        <v>160000</v>
      </c>
      <c r="G175" s="2">
        <v>163000</v>
      </c>
    </row>
    <row r="176" spans="1:18" x14ac:dyDescent="0.15">
      <c r="B176" s="2"/>
      <c r="C176" s="2"/>
      <c r="D176" s="2"/>
      <c r="E176" s="2"/>
      <c r="F176" s="2"/>
      <c r="G176" s="2"/>
    </row>
    <row r="177" spans="1:8" x14ac:dyDescent="0.15">
      <c r="A177" s="3" t="s">
        <v>129</v>
      </c>
      <c r="B177" s="2">
        <v>120000</v>
      </c>
      <c r="C177" s="2">
        <v>120000</v>
      </c>
      <c r="D177" s="2">
        <v>120000</v>
      </c>
      <c r="E177" s="2">
        <v>120000</v>
      </c>
      <c r="F177" s="2">
        <v>120000</v>
      </c>
      <c r="G177" s="2">
        <v>120000</v>
      </c>
    </row>
    <row r="178" spans="1:8" x14ac:dyDescent="0.15">
      <c r="A178" s="4" t="s">
        <v>130</v>
      </c>
      <c r="B178" s="48" t="e">
        <f>B157+B162+B166+B170+B174+B177</f>
        <v>#REF!</v>
      </c>
      <c r="C178" s="48" t="e">
        <f t="shared" ref="C178:G178" si="54">C157+C162+C166+C170+C174+C177</f>
        <v>#REF!</v>
      </c>
      <c r="D178" s="48" t="e">
        <f t="shared" si="54"/>
        <v>#REF!</v>
      </c>
      <c r="E178" s="48" t="e">
        <f t="shared" si="54"/>
        <v>#REF!</v>
      </c>
      <c r="F178" s="48" t="e">
        <f t="shared" si="54"/>
        <v>#REF!</v>
      </c>
      <c r="G178" s="48" t="e">
        <f t="shared" si="54"/>
        <v>#REF!</v>
      </c>
      <c r="H178" s="4"/>
    </row>
    <row r="179" spans="1:8" x14ac:dyDescent="0.15">
      <c r="B179" s="2">
        <f>D32</f>
        <v>1498334</v>
      </c>
      <c r="C179" s="2">
        <f>E32</f>
        <v>1035406</v>
      </c>
      <c r="D179" s="2">
        <f>F32</f>
        <v>817477</v>
      </c>
      <c r="E179" s="2">
        <f>H32</f>
        <v>790422</v>
      </c>
      <c r="F179" s="2">
        <f>I32</f>
        <v>587200</v>
      </c>
      <c r="G179" s="2">
        <f>J32</f>
        <v>478974</v>
      </c>
    </row>
  </sheetData>
  <mergeCells count="25">
    <mergeCell ref="A6:B6"/>
    <mergeCell ref="Q2:R2"/>
    <mergeCell ref="A3:B3"/>
    <mergeCell ref="Q3:R3"/>
    <mergeCell ref="A4:B4"/>
    <mergeCell ref="A5:B5"/>
    <mergeCell ref="A23:B23"/>
    <mergeCell ref="A7:B7"/>
    <mergeCell ref="A8:B8"/>
    <mergeCell ref="A10:B10"/>
    <mergeCell ref="A11:B11"/>
    <mergeCell ref="A12:B12"/>
    <mergeCell ref="A13:B13"/>
    <mergeCell ref="A14:B14"/>
    <mergeCell ref="A19:B19"/>
    <mergeCell ref="A20:B20"/>
    <mergeCell ref="A21:B21"/>
    <mergeCell ref="A22:B22"/>
    <mergeCell ref="A146:C146"/>
    <mergeCell ref="A24:B24"/>
    <mergeCell ref="A26:B26"/>
    <mergeCell ref="A27:B27"/>
    <mergeCell ref="A28:B28"/>
    <mergeCell ref="A29:B29"/>
    <mergeCell ref="A30:B30"/>
  </mergeCells>
  <pageMargins left="0.70866141732283472" right="0.70866141732283472" top="0.74803149606299213" bottom="0.74803149606299213" header="0.31496062992125984" footer="0.31496062992125984"/>
  <pageSetup paperSize="8"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showGridLines="0" workbookViewId="0">
      <selection activeCell="E30" sqref="E30"/>
    </sheetView>
  </sheetViews>
  <sheetFormatPr baseColWidth="10" defaultColWidth="8.83203125" defaultRowHeight="13" x14ac:dyDescent="0.15"/>
  <cols>
    <col min="1" max="1" width="28.33203125" bestFit="1" customWidth="1"/>
    <col min="5" max="5" width="12" customWidth="1"/>
  </cols>
  <sheetData>
    <row r="2" spans="1:8" ht="24" x14ac:dyDescent="0.15">
      <c r="A2" s="332" t="s">
        <v>500</v>
      </c>
      <c r="B2" s="333" t="s">
        <v>7</v>
      </c>
      <c r="C2" s="333" t="s">
        <v>501</v>
      </c>
      <c r="D2" s="333" t="s">
        <v>502</v>
      </c>
      <c r="E2" s="333" t="s">
        <v>506</v>
      </c>
      <c r="F2" s="334" t="s">
        <v>503</v>
      </c>
      <c r="G2" s="332" t="s">
        <v>504</v>
      </c>
      <c r="H2" s="334" t="s">
        <v>505</v>
      </c>
    </row>
    <row r="3" spans="1:8" x14ac:dyDescent="0.15">
      <c r="A3" s="335" t="s">
        <v>496</v>
      </c>
      <c r="B3" s="326">
        <v>811000</v>
      </c>
      <c r="C3" s="336">
        <v>336000</v>
      </c>
      <c r="D3" s="337">
        <f>603000-120000</f>
        <v>483000</v>
      </c>
      <c r="E3" s="330">
        <f>SUM(B3:D3)</f>
        <v>1630000</v>
      </c>
      <c r="F3" s="336">
        <v>522000</v>
      </c>
      <c r="G3" s="336">
        <v>307000</v>
      </c>
      <c r="H3" s="338">
        <v>196000</v>
      </c>
    </row>
    <row r="4" spans="1:8" x14ac:dyDescent="0.15">
      <c r="A4" s="335" t="s">
        <v>497</v>
      </c>
      <c r="B4" s="326">
        <v>46000</v>
      </c>
      <c r="C4" s="336">
        <v>37000</v>
      </c>
      <c r="D4" s="336">
        <v>15000</v>
      </c>
      <c r="E4" s="330">
        <f t="shared" ref="E4:E6" si="0">SUM(B4:D4)</f>
        <v>98000</v>
      </c>
      <c r="F4" s="336">
        <v>0</v>
      </c>
      <c r="G4" s="336">
        <v>0</v>
      </c>
      <c r="H4" s="338">
        <v>0</v>
      </c>
    </row>
    <row r="5" spans="1:8" x14ac:dyDescent="0.15">
      <c r="A5" s="335" t="s">
        <v>498</v>
      </c>
      <c r="B5" s="327">
        <v>277000</v>
      </c>
      <c r="C5" s="336">
        <v>358000</v>
      </c>
      <c r="D5" s="336">
        <v>50000</v>
      </c>
      <c r="E5" s="330">
        <f t="shared" si="0"/>
        <v>685000</v>
      </c>
      <c r="F5" s="336">
        <v>0</v>
      </c>
      <c r="G5" s="336">
        <v>0</v>
      </c>
      <c r="H5" s="338">
        <v>0</v>
      </c>
    </row>
    <row r="6" spans="1:8" x14ac:dyDescent="0.15">
      <c r="A6" s="335" t="s">
        <v>499</v>
      </c>
      <c r="B6" s="327">
        <v>245000</v>
      </c>
      <c r="C6" s="336">
        <v>184000</v>
      </c>
      <c r="D6" s="336">
        <v>150000</v>
      </c>
      <c r="E6" s="330">
        <f t="shared" si="0"/>
        <v>579000</v>
      </c>
      <c r="F6" s="336">
        <v>148000</v>
      </c>
      <c r="G6" s="336">
        <v>160000</v>
      </c>
      <c r="H6" s="338">
        <v>163000</v>
      </c>
    </row>
    <row r="7" spans="1:8" x14ac:dyDescent="0.15">
      <c r="A7" s="339" t="s">
        <v>129</v>
      </c>
      <c r="B7" s="342">
        <v>120000</v>
      </c>
      <c r="C7" s="336">
        <v>120000</v>
      </c>
      <c r="D7" s="336">
        <v>120000</v>
      </c>
      <c r="E7" s="330">
        <f>SUM(B7:D7)</f>
        <v>360000</v>
      </c>
      <c r="F7" s="336">
        <v>120000</v>
      </c>
      <c r="G7" s="336">
        <v>120000</v>
      </c>
      <c r="H7" s="338">
        <v>120000</v>
      </c>
    </row>
    <row r="8" spans="1:8" x14ac:dyDescent="0.15">
      <c r="A8" s="340" t="s">
        <v>130</v>
      </c>
      <c r="B8" s="328">
        <f>SUM(B3:B7)</f>
        <v>1499000</v>
      </c>
      <c r="C8" s="329">
        <f t="shared" ref="C8:H8" si="1">SUM(C3:C7)</f>
        <v>1035000</v>
      </c>
      <c r="D8" s="329">
        <f t="shared" si="1"/>
        <v>818000</v>
      </c>
      <c r="E8" s="331">
        <f>SUM(B8:D8)</f>
        <v>3352000</v>
      </c>
      <c r="F8" s="329">
        <f t="shared" si="1"/>
        <v>790000</v>
      </c>
      <c r="G8" s="329">
        <f t="shared" si="1"/>
        <v>587000</v>
      </c>
      <c r="H8" s="341">
        <f t="shared" si="1"/>
        <v>479000</v>
      </c>
    </row>
    <row r="9" spans="1:8" x14ac:dyDescent="0.15">
      <c r="B9" s="2"/>
      <c r="C9" s="2"/>
      <c r="D9" s="2"/>
      <c r="E9" s="2"/>
      <c r="F9" s="2"/>
      <c r="G9" s="2"/>
      <c r="H9" s="2"/>
    </row>
  </sheetData>
  <pageMargins left="0.7" right="0.7" top="0.75" bottom="0.75" header="0.3" footer="0.3"/>
  <ignoredErrors>
    <ignoredError sqref="F8:H8 B8:D8" formulaRange="1"/>
    <ignoredError sqref="E8"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heetPr>
  <dimension ref="A1:BR223"/>
  <sheetViews>
    <sheetView zoomScale="50" zoomScaleNormal="50" zoomScalePageLayoutView="50" workbookViewId="0">
      <pane xSplit="6" ySplit="1" topLeftCell="G63" activePane="bottomRight" state="frozen"/>
      <selection pane="topRight" activeCell="F1" sqref="F1"/>
      <selection pane="bottomLeft" activeCell="A2" sqref="A2"/>
      <selection pane="bottomRight" activeCell="A72" sqref="A72:XFD72"/>
    </sheetView>
  </sheetViews>
  <sheetFormatPr baseColWidth="10" defaultColWidth="8.83203125" defaultRowHeight="13" outlineLevelRow="2" outlineLevelCol="1" x14ac:dyDescent="0.15"/>
  <cols>
    <col min="1" max="1" width="8.83203125" style="57"/>
    <col min="2" max="2" width="10.33203125" customWidth="1"/>
    <col min="3" max="3" width="25.33203125" customWidth="1" outlineLevel="1"/>
    <col min="4" max="4" width="15.5" style="76" customWidth="1" outlineLevel="1"/>
    <col min="5" max="5" width="32.5" style="34" customWidth="1" outlineLevel="1"/>
    <col min="6" max="6" width="10.5" style="34" customWidth="1"/>
    <col min="7" max="7" width="30.33203125" style="34" customWidth="1"/>
    <col min="8" max="8" width="10" style="34" customWidth="1"/>
    <col min="9" max="9" width="21.33203125" style="34" customWidth="1"/>
    <col min="10" max="10" width="16.5" style="154" customWidth="1"/>
    <col min="11" max="13" width="17.5" customWidth="1"/>
    <col min="14" max="14" width="15.83203125" customWidth="1"/>
    <col min="15" max="15" width="20.83203125" style="42" bestFit="1" customWidth="1"/>
    <col min="16" max="16" width="17" customWidth="1"/>
    <col min="17" max="17" width="14.33203125" customWidth="1"/>
    <col min="18" max="18" width="20.33203125" bestFit="1" customWidth="1"/>
    <col min="19" max="19" width="15.5" customWidth="1"/>
    <col min="20" max="22" width="16.83203125" customWidth="1"/>
    <col min="23" max="23" width="22" customWidth="1"/>
    <col min="24" max="24" width="20.33203125" style="158" customWidth="1"/>
    <col min="25" max="25" width="17.5" customWidth="1"/>
    <col min="26" max="26" width="15.1640625" customWidth="1"/>
    <col min="27" max="27" width="23.33203125" customWidth="1"/>
    <col min="28" max="28" width="18" hidden="1" customWidth="1"/>
    <col min="29" max="29" width="13.83203125" customWidth="1"/>
    <col min="30" max="30" width="13.5" customWidth="1"/>
    <col min="31" max="31" width="14.6640625" customWidth="1"/>
    <col min="32" max="33" width="14.33203125" customWidth="1"/>
    <col min="34" max="34" width="12.83203125" customWidth="1"/>
    <col min="35" max="35" width="14.83203125" customWidth="1"/>
    <col min="36" max="36" width="14.33203125" customWidth="1"/>
    <col min="37" max="37" width="12.5" customWidth="1"/>
    <col min="38" max="38" width="20.83203125" bestFit="1" customWidth="1"/>
    <col min="39" max="39" width="12.5" customWidth="1"/>
    <col min="40" max="40" width="14.33203125" customWidth="1"/>
    <col min="41" max="41" width="15" customWidth="1"/>
    <col min="42" max="42" width="14.6640625" customWidth="1"/>
    <col min="43" max="47" width="15" customWidth="1"/>
    <col min="48" max="49" width="16" customWidth="1"/>
    <col min="50" max="53" width="11.6640625" customWidth="1"/>
    <col min="54" max="54" width="13.1640625" customWidth="1"/>
    <col min="55" max="60" width="11.6640625" customWidth="1"/>
    <col min="61" max="62" width="5.1640625" style="3" customWidth="1"/>
    <col min="64" max="65" width="5.1640625" customWidth="1"/>
    <col min="66" max="66" width="4.6640625" customWidth="1"/>
    <col min="67" max="67" width="5.1640625" customWidth="1"/>
    <col min="68" max="68" width="5.5" customWidth="1"/>
    <col min="69" max="69" width="10.33203125" bestFit="1" customWidth="1"/>
    <col min="70" max="70" width="9.5" bestFit="1" customWidth="1"/>
  </cols>
  <sheetData>
    <row r="1" spans="1:65" s="8" customFormat="1" ht="48" x14ac:dyDescent="0.2">
      <c r="A1" s="49"/>
      <c r="C1" s="395" t="s">
        <v>131</v>
      </c>
      <c r="D1" s="396"/>
      <c r="E1" s="396"/>
      <c r="F1" s="396"/>
      <c r="G1" s="396"/>
      <c r="H1" s="50"/>
      <c r="I1" s="397"/>
      <c r="J1" s="382"/>
      <c r="K1" s="51" t="s">
        <v>6</v>
      </c>
      <c r="L1" s="52" t="s">
        <v>7</v>
      </c>
      <c r="M1" s="52" t="s">
        <v>8</v>
      </c>
      <c r="N1" s="52" t="s">
        <v>9</v>
      </c>
      <c r="O1" s="52" t="s">
        <v>10</v>
      </c>
      <c r="P1" s="52" t="s">
        <v>11</v>
      </c>
      <c r="Q1" s="52" t="s">
        <v>12</v>
      </c>
      <c r="R1" s="52" t="s">
        <v>13</v>
      </c>
      <c r="S1" s="53" t="s">
        <v>14</v>
      </c>
      <c r="T1" s="52" t="s">
        <v>15</v>
      </c>
      <c r="U1" s="52" t="s">
        <v>16</v>
      </c>
      <c r="V1" s="51" t="s">
        <v>17</v>
      </c>
      <c r="W1" s="52" t="s">
        <v>132</v>
      </c>
      <c r="X1" s="52" t="s">
        <v>133</v>
      </c>
      <c r="Y1" s="52" t="s">
        <v>5</v>
      </c>
      <c r="Z1" s="52" t="s">
        <v>134</v>
      </c>
      <c r="AA1" s="52" t="s">
        <v>135</v>
      </c>
      <c r="AB1" s="54" t="s">
        <v>136</v>
      </c>
      <c r="AC1" s="55" t="s">
        <v>78</v>
      </c>
      <c r="AD1" s="55" t="s">
        <v>79</v>
      </c>
      <c r="AE1" s="55" t="s">
        <v>80</v>
      </c>
      <c r="AF1" s="55" t="s">
        <v>81</v>
      </c>
      <c r="AG1" s="55" t="s">
        <v>82</v>
      </c>
      <c r="AH1" s="55" t="s">
        <v>83</v>
      </c>
      <c r="AI1" s="55" t="s">
        <v>84</v>
      </c>
      <c r="AJ1" s="55" t="s">
        <v>85</v>
      </c>
      <c r="AK1" s="55" t="s">
        <v>86</v>
      </c>
      <c r="AL1" s="55" t="s">
        <v>87</v>
      </c>
      <c r="AM1" s="54" t="s">
        <v>88</v>
      </c>
      <c r="AN1" s="54" t="s">
        <v>89</v>
      </c>
      <c r="AO1" s="54" t="s">
        <v>90</v>
      </c>
      <c r="AP1" s="54" t="s">
        <v>91</v>
      </c>
      <c r="AQ1" s="54" t="s">
        <v>92</v>
      </c>
      <c r="AR1" s="54" t="s">
        <v>93</v>
      </c>
      <c r="AS1" s="54" t="s">
        <v>94</v>
      </c>
      <c r="AT1" s="54" t="s">
        <v>95</v>
      </c>
      <c r="AU1" s="54" t="s">
        <v>96</v>
      </c>
      <c r="AV1" s="54" t="s">
        <v>97</v>
      </c>
      <c r="AW1" s="54" t="s">
        <v>98</v>
      </c>
      <c r="AX1" s="56" t="s">
        <v>137</v>
      </c>
      <c r="AY1" s="56" t="s">
        <v>138</v>
      </c>
      <c r="AZ1" s="56" t="s">
        <v>139</v>
      </c>
      <c r="BA1" s="56" t="s">
        <v>140</v>
      </c>
      <c r="BB1" s="56" t="s">
        <v>141</v>
      </c>
      <c r="BC1" s="56" t="s">
        <v>142</v>
      </c>
      <c r="BD1" s="56" t="s">
        <v>143</v>
      </c>
      <c r="BE1" s="56" t="s">
        <v>144</v>
      </c>
      <c r="BF1" s="56" t="s">
        <v>145</v>
      </c>
      <c r="BG1" s="56" t="s">
        <v>146</v>
      </c>
      <c r="BH1" s="56" t="s">
        <v>147</v>
      </c>
    </row>
    <row r="2" spans="1:65" ht="15.75" customHeight="1" x14ac:dyDescent="0.2">
      <c r="D2" s="58"/>
      <c r="H2" s="59"/>
      <c r="I2" s="393" t="s">
        <v>21</v>
      </c>
      <c r="J2" s="394"/>
      <c r="K2" s="60" t="e">
        <f t="shared" ref="K2" si="0">K59++K64+K67+K74+K79+K80+K81+K83+K87+K88+K111+K137</f>
        <v>#REF!</v>
      </c>
      <c r="L2" s="60">
        <f>L59++L64+L67+L74+L79+L80+L81+L83+L87+L88+L111+L137</f>
        <v>1133734</v>
      </c>
      <c r="M2" s="60">
        <f>M59++M64+M67+M74+M79+M80+M81+M83+M87+M88+M111+M137</f>
        <v>690106</v>
      </c>
      <c r="N2" s="60">
        <f t="shared" ref="N2:V2" si="1">N59++N64+N67+N74+N79+N80+N81+N83+N87+N88+N111+N137</f>
        <v>350177</v>
      </c>
      <c r="O2" s="61">
        <f t="shared" si="1"/>
        <v>2174017</v>
      </c>
      <c r="P2" s="60">
        <f t="shared" si="1"/>
        <v>233622</v>
      </c>
      <c r="Q2" s="60">
        <f t="shared" si="1"/>
        <v>163000</v>
      </c>
      <c r="R2" s="60">
        <f t="shared" si="1"/>
        <v>125000</v>
      </c>
      <c r="S2" s="60">
        <f t="shared" si="1"/>
        <v>5000</v>
      </c>
      <c r="T2" s="60">
        <f t="shared" si="1"/>
        <v>5000</v>
      </c>
      <c r="U2" s="60">
        <f t="shared" si="1"/>
        <v>5000</v>
      </c>
      <c r="V2" s="60">
        <f t="shared" si="1"/>
        <v>0</v>
      </c>
      <c r="W2" s="61">
        <f>W59++W64+W67+W74+W79+W80+W81+W83+W87+W88+W111+W137</f>
        <v>2710639</v>
      </c>
      <c r="X2" s="60" t="e">
        <f>X59++X64+X67+X74+X79+X80+X81+X83+X87+X88+X111+X137</f>
        <v>#REF!</v>
      </c>
      <c r="Y2" s="60"/>
      <c r="Z2" s="60"/>
      <c r="AA2" s="60"/>
      <c r="AB2" s="62">
        <f t="shared" ref="AB2:BH2" si="2">AB59++AB64+AB67+AB74+AB79+AB80+AB81+AB83+AB87+AB88+AB111+AB137</f>
        <v>0</v>
      </c>
      <c r="AC2" s="63" t="e">
        <f t="shared" si="2"/>
        <v>#REF!</v>
      </c>
      <c r="AD2" s="63" t="e">
        <f t="shared" si="2"/>
        <v>#REF!</v>
      </c>
      <c r="AE2" s="63" t="e">
        <f t="shared" si="2"/>
        <v>#REF!</v>
      </c>
      <c r="AF2" s="63" t="e">
        <f t="shared" si="2"/>
        <v>#REF!</v>
      </c>
      <c r="AG2" s="63" t="e">
        <f t="shared" si="2"/>
        <v>#REF!</v>
      </c>
      <c r="AH2" s="63" t="e">
        <f t="shared" si="2"/>
        <v>#REF!</v>
      </c>
      <c r="AI2" s="63" t="e">
        <f t="shared" si="2"/>
        <v>#REF!</v>
      </c>
      <c r="AJ2" s="63" t="e">
        <f t="shared" si="2"/>
        <v>#REF!</v>
      </c>
      <c r="AK2" s="63" t="e">
        <f t="shared" si="2"/>
        <v>#REF!</v>
      </c>
      <c r="AL2" s="63" t="e">
        <f t="shared" si="2"/>
        <v>#REF!</v>
      </c>
      <c r="AM2" s="62">
        <f t="shared" si="2"/>
        <v>0</v>
      </c>
      <c r="AN2" s="64" t="e">
        <f t="shared" si="2"/>
        <v>#REF!</v>
      </c>
      <c r="AO2" s="64" t="e">
        <f t="shared" si="2"/>
        <v>#REF!</v>
      </c>
      <c r="AP2" s="64" t="e">
        <f t="shared" si="2"/>
        <v>#REF!</v>
      </c>
      <c r="AQ2" s="64" t="e">
        <f t="shared" si="2"/>
        <v>#REF!</v>
      </c>
      <c r="AR2" s="64" t="e">
        <f t="shared" si="2"/>
        <v>#REF!</v>
      </c>
      <c r="AS2" s="64" t="e">
        <f t="shared" si="2"/>
        <v>#REF!</v>
      </c>
      <c r="AT2" s="64" t="e">
        <f t="shared" si="2"/>
        <v>#REF!</v>
      </c>
      <c r="AU2" s="64" t="e">
        <f t="shared" si="2"/>
        <v>#REF!</v>
      </c>
      <c r="AV2" s="64" t="e">
        <f t="shared" si="2"/>
        <v>#REF!</v>
      </c>
      <c r="AW2" s="64" t="e">
        <f t="shared" si="2"/>
        <v>#REF!</v>
      </c>
      <c r="AX2" s="65">
        <f t="shared" si="2"/>
        <v>0</v>
      </c>
      <c r="AY2" s="65">
        <f t="shared" si="2"/>
        <v>0</v>
      </c>
      <c r="AZ2" s="65">
        <f t="shared" si="2"/>
        <v>11748</v>
      </c>
      <c r="BA2" s="65">
        <f t="shared" si="2"/>
        <v>0</v>
      </c>
      <c r="BB2" s="65">
        <f t="shared" si="2"/>
        <v>9089</v>
      </c>
      <c r="BC2" s="65">
        <f t="shared" si="2"/>
        <v>0</v>
      </c>
      <c r="BD2" s="65">
        <f t="shared" si="2"/>
        <v>0</v>
      </c>
      <c r="BE2" s="65">
        <f t="shared" si="2"/>
        <v>0</v>
      </c>
      <c r="BF2" s="65">
        <f t="shared" si="2"/>
        <v>0</v>
      </c>
      <c r="BG2" s="65">
        <f t="shared" si="2"/>
        <v>0</v>
      </c>
      <c r="BH2" s="65">
        <f t="shared" si="2"/>
        <v>0</v>
      </c>
      <c r="BJ2" s="66"/>
      <c r="BL2" s="67"/>
      <c r="BM2" s="34"/>
    </row>
    <row r="3" spans="1:65" ht="15.75" customHeight="1" x14ac:dyDescent="0.2">
      <c r="D3" s="58"/>
      <c r="H3" s="59"/>
      <c r="I3" s="393" t="s">
        <v>24</v>
      </c>
      <c r="J3" s="394"/>
      <c r="K3" s="60" t="e">
        <f>K60+K61+K62+K63+K68+K76+K84+K85+K86+K92+K95+K96+K105+K132+K134+K136+K131+K133</f>
        <v>#REF!</v>
      </c>
      <c r="L3" s="60">
        <f t="shared" ref="L3:X3" si="3">L60+L61+L62+L63+L68+L76+L84+L85+L86+L92+L95+L96+L105+L132+L134+L136+L131+L133</f>
        <v>104100</v>
      </c>
      <c r="M3" s="60">
        <f t="shared" si="3"/>
        <v>136800</v>
      </c>
      <c r="N3" s="60">
        <f t="shared" si="3"/>
        <v>277600</v>
      </c>
      <c r="O3" s="61">
        <f t="shared" si="3"/>
        <v>518500</v>
      </c>
      <c r="P3" s="60">
        <f t="shared" si="3"/>
        <v>363800</v>
      </c>
      <c r="Q3" s="60">
        <f t="shared" si="3"/>
        <v>258700</v>
      </c>
      <c r="R3" s="60">
        <f t="shared" si="3"/>
        <v>165974</v>
      </c>
      <c r="S3" s="60">
        <f t="shared" si="3"/>
        <v>86583</v>
      </c>
      <c r="T3" s="60">
        <f t="shared" si="3"/>
        <v>140000</v>
      </c>
      <c r="U3" s="60">
        <f t="shared" si="3"/>
        <v>202000</v>
      </c>
      <c r="V3" s="60">
        <f t="shared" si="3"/>
        <v>371000</v>
      </c>
      <c r="W3" s="61">
        <f>W60+W61+W62+W63+W68+W76+W84+W85+W86+W92+W95+W96+W105+W132+W134+W136+W131+W133</f>
        <v>2106557</v>
      </c>
      <c r="X3" s="60" t="e">
        <f t="shared" si="3"/>
        <v>#REF!</v>
      </c>
      <c r="Y3" s="60"/>
      <c r="Z3" s="60"/>
      <c r="AA3" s="60"/>
      <c r="AB3" s="62">
        <f t="shared" ref="AB3:BH3" si="4">AB60+AB61+AB62+AB63+AB68+AB76+AB84+AB85+AB86+AB92+AB95+AB96+AB105+AB132+AB134+AB136+AB131+AB133</f>
        <v>0</v>
      </c>
      <c r="AC3" s="63">
        <f t="shared" si="4"/>
        <v>0</v>
      </c>
      <c r="AD3" s="63" t="e">
        <f t="shared" si="4"/>
        <v>#REF!</v>
      </c>
      <c r="AE3" s="63" t="e">
        <f t="shared" si="4"/>
        <v>#REF!</v>
      </c>
      <c r="AF3" s="63" t="e">
        <f t="shared" si="4"/>
        <v>#REF!</v>
      </c>
      <c r="AG3" s="63" t="e">
        <f t="shared" si="4"/>
        <v>#REF!</v>
      </c>
      <c r="AH3" s="63" t="e">
        <f t="shared" si="4"/>
        <v>#REF!</v>
      </c>
      <c r="AI3" s="63" t="e">
        <f t="shared" si="4"/>
        <v>#REF!</v>
      </c>
      <c r="AJ3" s="63" t="e">
        <f t="shared" si="4"/>
        <v>#REF!</v>
      </c>
      <c r="AK3" s="63" t="e">
        <f t="shared" si="4"/>
        <v>#REF!</v>
      </c>
      <c r="AL3" s="63" t="e">
        <f t="shared" si="4"/>
        <v>#REF!</v>
      </c>
      <c r="AM3" s="62">
        <f t="shared" si="4"/>
        <v>0</v>
      </c>
      <c r="AN3" s="64">
        <f t="shared" si="4"/>
        <v>0</v>
      </c>
      <c r="AO3" s="64" t="e">
        <f t="shared" si="4"/>
        <v>#REF!</v>
      </c>
      <c r="AP3" s="64" t="e">
        <f t="shared" si="4"/>
        <v>#REF!</v>
      </c>
      <c r="AQ3" s="64" t="e">
        <f t="shared" si="4"/>
        <v>#REF!</v>
      </c>
      <c r="AR3" s="64" t="e">
        <f t="shared" si="4"/>
        <v>#REF!</v>
      </c>
      <c r="AS3" s="64" t="e">
        <f t="shared" si="4"/>
        <v>#REF!</v>
      </c>
      <c r="AT3" s="64" t="e">
        <f t="shared" si="4"/>
        <v>#REF!</v>
      </c>
      <c r="AU3" s="64" t="e">
        <f t="shared" si="4"/>
        <v>#REF!</v>
      </c>
      <c r="AV3" s="64" t="e">
        <f t="shared" si="4"/>
        <v>#REF!</v>
      </c>
      <c r="AW3" s="64" t="e">
        <f t="shared" si="4"/>
        <v>#REF!</v>
      </c>
      <c r="AX3" s="65">
        <f t="shared" si="4"/>
        <v>0</v>
      </c>
      <c r="AY3" s="65">
        <f t="shared" si="4"/>
        <v>0</v>
      </c>
      <c r="AZ3" s="65">
        <f t="shared" si="4"/>
        <v>0</v>
      </c>
      <c r="BA3" s="65">
        <f t="shared" si="4"/>
        <v>0</v>
      </c>
      <c r="BB3" s="65">
        <f t="shared" si="4"/>
        <v>20128</v>
      </c>
      <c r="BC3" s="65">
        <f t="shared" si="4"/>
        <v>0</v>
      </c>
      <c r="BD3" s="65">
        <f t="shared" si="4"/>
        <v>46942</v>
      </c>
      <c r="BE3" s="65">
        <f t="shared" si="4"/>
        <v>0</v>
      </c>
      <c r="BF3" s="65">
        <f t="shared" si="4"/>
        <v>0</v>
      </c>
      <c r="BG3" s="65">
        <f t="shared" si="4"/>
        <v>0</v>
      </c>
      <c r="BH3" s="65">
        <f t="shared" si="4"/>
        <v>5000</v>
      </c>
      <c r="BJ3" s="66"/>
      <c r="BL3" s="67"/>
      <c r="BM3" s="34"/>
    </row>
    <row r="4" spans="1:65" ht="15.75" customHeight="1" x14ac:dyDescent="0.2">
      <c r="D4" s="58"/>
      <c r="H4" s="59"/>
      <c r="I4" s="393" t="s">
        <v>27</v>
      </c>
      <c r="J4" s="394"/>
      <c r="K4" s="60">
        <f>K73+K93+K97+K98+K99+K100+K106+K128+K135</f>
        <v>3000</v>
      </c>
      <c r="L4" s="60">
        <f t="shared" ref="L4:X4" si="5">L73+L93+L97+L98+L99+L100+L106+L128+L135</f>
        <v>3000</v>
      </c>
      <c r="M4" s="60">
        <f t="shared" si="5"/>
        <v>2500</v>
      </c>
      <c r="N4" s="60">
        <f t="shared" si="5"/>
        <v>0</v>
      </c>
      <c r="O4" s="61">
        <f t="shared" si="5"/>
        <v>5500</v>
      </c>
      <c r="P4" s="60">
        <f t="shared" si="5"/>
        <v>0</v>
      </c>
      <c r="Q4" s="60">
        <f t="shared" si="5"/>
        <v>500</v>
      </c>
      <c r="R4" s="60">
        <f t="shared" si="5"/>
        <v>0</v>
      </c>
      <c r="S4" s="60">
        <f t="shared" si="5"/>
        <v>119500</v>
      </c>
      <c r="T4" s="60">
        <f t="shared" si="5"/>
        <v>147500</v>
      </c>
      <c r="U4" s="60">
        <f t="shared" si="5"/>
        <v>7500</v>
      </c>
      <c r="V4" s="60">
        <f t="shared" si="5"/>
        <v>0</v>
      </c>
      <c r="W4" s="61">
        <f t="shared" si="5"/>
        <v>280500</v>
      </c>
      <c r="X4" s="60">
        <f t="shared" si="5"/>
        <v>283500</v>
      </c>
      <c r="Y4" s="60"/>
      <c r="Z4" s="60"/>
      <c r="AA4" s="60"/>
      <c r="AB4" s="62">
        <f t="shared" ref="AB4:BH4" si="6">AB73+AB93+AB97+AB98+AB99+AB100+AB106+AB128+AB135</f>
        <v>0</v>
      </c>
      <c r="AC4" s="63">
        <f t="shared" si="6"/>
        <v>0</v>
      </c>
      <c r="AD4" s="63" t="e">
        <f t="shared" si="6"/>
        <v>#REF!</v>
      </c>
      <c r="AE4" s="63" t="e">
        <f t="shared" si="6"/>
        <v>#REF!</v>
      </c>
      <c r="AF4" s="63" t="e">
        <f t="shared" si="6"/>
        <v>#REF!</v>
      </c>
      <c r="AG4" s="63" t="e">
        <f t="shared" si="6"/>
        <v>#REF!</v>
      </c>
      <c r="AH4" s="63" t="e">
        <f t="shared" si="6"/>
        <v>#REF!</v>
      </c>
      <c r="AI4" s="63" t="e">
        <f t="shared" si="6"/>
        <v>#REF!</v>
      </c>
      <c r="AJ4" s="63" t="e">
        <f t="shared" si="6"/>
        <v>#REF!</v>
      </c>
      <c r="AK4" s="63" t="e">
        <f t="shared" si="6"/>
        <v>#REF!</v>
      </c>
      <c r="AL4" s="63" t="e">
        <f t="shared" si="6"/>
        <v>#REF!</v>
      </c>
      <c r="AM4" s="62">
        <f t="shared" si="6"/>
        <v>0</v>
      </c>
      <c r="AN4" s="64">
        <f t="shared" si="6"/>
        <v>0</v>
      </c>
      <c r="AO4" s="64" t="e">
        <f t="shared" si="6"/>
        <v>#REF!</v>
      </c>
      <c r="AP4" s="64" t="e">
        <f t="shared" si="6"/>
        <v>#REF!</v>
      </c>
      <c r="AQ4" s="64" t="e">
        <f t="shared" si="6"/>
        <v>#REF!</v>
      </c>
      <c r="AR4" s="64" t="e">
        <f t="shared" si="6"/>
        <v>#REF!</v>
      </c>
      <c r="AS4" s="64" t="e">
        <f t="shared" si="6"/>
        <v>#REF!</v>
      </c>
      <c r="AT4" s="64" t="e">
        <f t="shared" si="6"/>
        <v>#REF!</v>
      </c>
      <c r="AU4" s="64" t="e">
        <f t="shared" si="6"/>
        <v>#REF!</v>
      </c>
      <c r="AV4" s="64" t="e">
        <f t="shared" si="6"/>
        <v>#REF!</v>
      </c>
      <c r="AW4" s="64" t="e">
        <f t="shared" si="6"/>
        <v>#REF!</v>
      </c>
      <c r="AX4" s="65">
        <f t="shared" si="6"/>
        <v>0</v>
      </c>
      <c r="AY4" s="65">
        <f t="shared" si="6"/>
        <v>0</v>
      </c>
      <c r="AZ4" s="65">
        <f t="shared" si="6"/>
        <v>0</v>
      </c>
      <c r="BA4" s="65">
        <f t="shared" si="6"/>
        <v>0</v>
      </c>
      <c r="BB4" s="65">
        <f t="shared" si="6"/>
        <v>0</v>
      </c>
      <c r="BC4" s="65">
        <f t="shared" si="6"/>
        <v>0</v>
      </c>
      <c r="BD4" s="65">
        <f t="shared" si="6"/>
        <v>0</v>
      </c>
      <c r="BE4" s="65">
        <f t="shared" si="6"/>
        <v>0</v>
      </c>
      <c r="BF4" s="65">
        <f t="shared" si="6"/>
        <v>0</v>
      </c>
      <c r="BG4" s="65">
        <f t="shared" si="6"/>
        <v>0</v>
      </c>
      <c r="BH4" s="65">
        <f t="shared" si="6"/>
        <v>0</v>
      </c>
      <c r="BJ4" s="66"/>
      <c r="BL4" s="67"/>
      <c r="BM4" s="34"/>
    </row>
    <row r="5" spans="1:65" ht="15.75" customHeight="1" x14ac:dyDescent="0.2">
      <c r="D5" s="58"/>
      <c r="H5" s="59"/>
      <c r="I5" s="393" t="s">
        <v>29</v>
      </c>
      <c r="J5" s="394"/>
      <c r="K5" s="60">
        <f t="shared" ref="K5:L5" si="7">K65+K66+K78+K107+K130</f>
        <v>2500</v>
      </c>
      <c r="L5" s="60">
        <f t="shared" si="7"/>
        <v>0</v>
      </c>
      <c r="M5" s="60">
        <f>M65+M66+M78+M107+M130</f>
        <v>0</v>
      </c>
      <c r="N5" s="60">
        <f t="shared" ref="N5:X5" si="8">N65+N66+N78+N107+N130</f>
        <v>0</v>
      </c>
      <c r="O5" s="61">
        <f t="shared" si="8"/>
        <v>0</v>
      </c>
      <c r="P5" s="60">
        <f t="shared" si="8"/>
        <v>0</v>
      </c>
      <c r="Q5" s="60">
        <f t="shared" si="8"/>
        <v>0</v>
      </c>
      <c r="R5" s="60">
        <f t="shared" si="8"/>
        <v>0</v>
      </c>
      <c r="S5" s="60">
        <f t="shared" si="8"/>
        <v>32500</v>
      </c>
      <c r="T5" s="60">
        <f t="shared" si="8"/>
        <v>50000</v>
      </c>
      <c r="U5" s="60">
        <f t="shared" si="8"/>
        <v>50000</v>
      </c>
      <c r="V5" s="60">
        <f t="shared" si="8"/>
        <v>0</v>
      </c>
      <c r="W5" s="61">
        <f t="shared" si="8"/>
        <v>132500</v>
      </c>
      <c r="X5" s="60">
        <f t="shared" si="8"/>
        <v>135000</v>
      </c>
      <c r="Y5" s="60"/>
      <c r="Z5" s="60"/>
      <c r="AA5" s="60"/>
      <c r="AB5" s="62">
        <f t="shared" ref="AB5:BH5" si="9">AB65+AB66+AB78+AB107+AB130</f>
        <v>0</v>
      </c>
      <c r="AC5" s="63">
        <f t="shared" si="9"/>
        <v>0</v>
      </c>
      <c r="AD5" s="63">
        <f t="shared" si="9"/>
        <v>0</v>
      </c>
      <c r="AE5" s="63">
        <f t="shared" si="9"/>
        <v>0</v>
      </c>
      <c r="AF5" s="63">
        <f t="shared" si="9"/>
        <v>0</v>
      </c>
      <c r="AG5" s="63">
        <f t="shared" si="9"/>
        <v>0</v>
      </c>
      <c r="AH5" s="63">
        <f t="shared" si="9"/>
        <v>0</v>
      </c>
      <c r="AI5" s="63">
        <f t="shared" si="9"/>
        <v>0</v>
      </c>
      <c r="AJ5" s="63" t="e">
        <f t="shared" si="9"/>
        <v>#REF!</v>
      </c>
      <c r="AK5" s="63" t="e">
        <f t="shared" si="9"/>
        <v>#REF!</v>
      </c>
      <c r="AL5" s="63" t="e">
        <f t="shared" si="9"/>
        <v>#REF!</v>
      </c>
      <c r="AM5" s="62">
        <f t="shared" si="9"/>
        <v>0</v>
      </c>
      <c r="AN5" s="64">
        <f t="shared" si="9"/>
        <v>0</v>
      </c>
      <c r="AO5" s="64">
        <f t="shared" si="9"/>
        <v>0</v>
      </c>
      <c r="AP5" s="64">
        <f t="shared" si="9"/>
        <v>0</v>
      </c>
      <c r="AQ5" s="64">
        <f t="shared" si="9"/>
        <v>0</v>
      </c>
      <c r="AR5" s="64">
        <f t="shared" si="9"/>
        <v>0</v>
      </c>
      <c r="AS5" s="64">
        <f t="shared" si="9"/>
        <v>0</v>
      </c>
      <c r="AT5" s="64">
        <f t="shared" si="9"/>
        <v>0</v>
      </c>
      <c r="AU5" s="64" t="e">
        <f t="shared" si="9"/>
        <v>#REF!</v>
      </c>
      <c r="AV5" s="64" t="e">
        <f t="shared" si="9"/>
        <v>#REF!</v>
      </c>
      <c r="AW5" s="64" t="e">
        <f t="shared" si="9"/>
        <v>#REF!</v>
      </c>
      <c r="AX5" s="65">
        <f t="shared" si="9"/>
        <v>0</v>
      </c>
      <c r="AY5" s="65">
        <f t="shared" si="9"/>
        <v>0</v>
      </c>
      <c r="AZ5" s="65">
        <f t="shared" si="9"/>
        <v>0</v>
      </c>
      <c r="BA5" s="65">
        <f t="shared" si="9"/>
        <v>0</v>
      </c>
      <c r="BB5" s="65">
        <f t="shared" si="9"/>
        <v>0</v>
      </c>
      <c r="BC5" s="65">
        <f t="shared" si="9"/>
        <v>0</v>
      </c>
      <c r="BD5" s="65">
        <f t="shared" si="9"/>
        <v>0</v>
      </c>
      <c r="BE5" s="65">
        <f t="shared" si="9"/>
        <v>0</v>
      </c>
      <c r="BF5" s="65">
        <f t="shared" si="9"/>
        <v>0</v>
      </c>
      <c r="BG5" s="65">
        <f t="shared" si="9"/>
        <v>0</v>
      </c>
      <c r="BH5" s="65">
        <f t="shared" si="9"/>
        <v>20000</v>
      </c>
      <c r="BJ5" s="66"/>
      <c r="BL5" s="67"/>
      <c r="BM5" s="34"/>
    </row>
    <row r="6" spans="1:65" ht="15.75" customHeight="1" x14ac:dyDescent="0.2">
      <c r="D6" s="58"/>
      <c r="H6" s="59"/>
      <c r="I6" s="393" t="s">
        <v>32</v>
      </c>
      <c r="J6" s="394"/>
      <c r="K6" s="60">
        <f>K69+K70+K71+K72+K75+K77+K82+K94++K108+K109+K110+K118+K119+K120+K121+K122+K123+K124+K125+K126+K127+K129</f>
        <v>25700</v>
      </c>
      <c r="L6" s="60">
        <f>L69+L70+L71+L72+L75+L77+L82+L94++L108+L109+L110+L118+L119+L120+L121+L122+L123+L124+L125+L126+L127+L129</f>
        <v>13000</v>
      </c>
      <c r="M6" s="60">
        <f t="shared" ref="M6:X6" si="10">M69+M70+M71+M72+M75+M77+M82+M94++M108+M109+M110+M118+M119+M120+M121+M122+M123+M124+M125+M126+M127+M129</f>
        <v>22000</v>
      </c>
      <c r="N6" s="60">
        <f t="shared" si="10"/>
        <v>40000</v>
      </c>
      <c r="O6" s="61">
        <f t="shared" si="10"/>
        <v>75000</v>
      </c>
      <c r="P6" s="60">
        <f t="shared" si="10"/>
        <v>45000</v>
      </c>
      <c r="Q6" s="60">
        <f t="shared" si="10"/>
        <v>5000</v>
      </c>
      <c r="R6" s="60">
        <f t="shared" si="10"/>
        <v>25000</v>
      </c>
      <c r="S6" s="60">
        <f t="shared" si="10"/>
        <v>554450</v>
      </c>
      <c r="T6" s="60">
        <f t="shared" si="10"/>
        <v>582250</v>
      </c>
      <c r="U6" s="60">
        <f t="shared" si="10"/>
        <v>573750</v>
      </c>
      <c r="V6" s="60">
        <f t="shared" si="10"/>
        <v>383750</v>
      </c>
      <c r="W6" s="61">
        <f t="shared" si="10"/>
        <v>2244200</v>
      </c>
      <c r="X6" s="60">
        <f t="shared" si="10"/>
        <v>2269900</v>
      </c>
      <c r="Y6" s="60"/>
      <c r="Z6" s="60"/>
      <c r="AA6" s="60"/>
      <c r="AB6" s="62">
        <f t="shared" ref="AB6:BH6" si="11">AB69+AB70+AB71+AB72+AB75+AB77+AB82+AB94++AB108+AB109+AB110+AB118+AB119+AB120+AB121+AB122+AB123+AB124+AB125+AB126+AB127+AB129</f>
        <v>0</v>
      </c>
      <c r="AC6" s="63">
        <f t="shared" si="11"/>
        <v>0</v>
      </c>
      <c r="AD6" s="63">
        <f t="shared" si="11"/>
        <v>0</v>
      </c>
      <c r="AE6" s="63" t="e">
        <f t="shared" si="11"/>
        <v>#REF!</v>
      </c>
      <c r="AF6" s="63" t="e">
        <f t="shared" si="11"/>
        <v>#REF!</v>
      </c>
      <c r="AG6" s="63" t="e">
        <f t="shared" si="11"/>
        <v>#REF!</v>
      </c>
      <c r="AH6" s="63" t="e">
        <f t="shared" si="11"/>
        <v>#REF!</v>
      </c>
      <c r="AI6" s="63" t="e">
        <f t="shared" si="11"/>
        <v>#REF!</v>
      </c>
      <c r="AJ6" s="63" t="e">
        <f t="shared" si="11"/>
        <v>#REF!</v>
      </c>
      <c r="AK6" s="63" t="e">
        <f t="shared" si="11"/>
        <v>#REF!</v>
      </c>
      <c r="AL6" s="63" t="e">
        <f t="shared" si="11"/>
        <v>#REF!</v>
      </c>
      <c r="AM6" s="62">
        <f t="shared" si="11"/>
        <v>0</v>
      </c>
      <c r="AN6" s="64">
        <f t="shared" si="11"/>
        <v>0</v>
      </c>
      <c r="AO6" s="64">
        <f t="shared" si="11"/>
        <v>0</v>
      </c>
      <c r="AP6" s="64" t="e">
        <f t="shared" si="11"/>
        <v>#REF!</v>
      </c>
      <c r="AQ6" s="64" t="e">
        <f t="shared" si="11"/>
        <v>#REF!</v>
      </c>
      <c r="AR6" s="64" t="e">
        <f t="shared" si="11"/>
        <v>#REF!</v>
      </c>
      <c r="AS6" s="64" t="e">
        <f t="shared" si="11"/>
        <v>#REF!</v>
      </c>
      <c r="AT6" s="64" t="e">
        <f t="shared" si="11"/>
        <v>#REF!</v>
      </c>
      <c r="AU6" s="64" t="e">
        <f t="shared" si="11"/>
        <v>#REF!</v>
      </c>
      <c r="AV6" s="64" t="e">
        <f t="shared" si="11"/>
        <v>#REF!</v>
      </c>
      <c r="AW6" s="64" t="e">
        <f t="shared" si="11"/>
        <v>#REF!</v>
      </c>
      <c r="AX6" s="65">
        <f t="shared" si="11"/>
        <v>0</v>
      </c>
      <c r="AY6" s="65">
        <f t="shared" si="11"/>
        <v>0</v>
      </c>
      <c r="AZ6" s="65">
        <f t="shared" si="11"/>
        <v>0</v>
      </c>
      <c r="BA6" s="65">
        <f t="shared" si="11"/>
        <v>0</v>
      </c>
      <c r="BB6" s="65">
        <f t="shared" si="11"/>
        <v>0</v>
      </c>
      <c r="BC6" s="65">
        <f t="shared" si="11"/>
        <v>0</v>
      </c>
      <c r="BD6" s="65">
        <f t="shared" si="11"/>
        <v>0</v>
      </c>
      <c r="BE6" s="65">
        <f t="shared" si="11"/>
        <v>0</v>
      </c>
      <c r="BF6" s="65">
        <f t="shared" si="11"/>
        <v>0</v>
      </c>
      <c r="BG6" s="65">
        <f t="shared" si="11"/>
        <v>0</v>
      </c>
      <c r="BH6" s="65">
        <f t="shared" si="11"/>
        <v>0</v>
      </c>
      <c r="BJ6" s="66"/>
      <c r="BL6" s="67"/>
      <c r="BM6" s="34"/>
    </row>
    <row r="7" spans="1:65" s="4" customFormat="1" ht="16" x14ac:dyDescent="0.2">
      <c r="A7" s="57"/>
      <c r="D7" s="68"/>
      <c r="E7" s="67"/>
      <c r="F7" s="67"/>
      <c r="G7" s="67"/>
      <c r="H7" s="69"/>
      <c r="I7" s="70" t="s">
        <v>35</v>
      </c>
      <c r="J7" s="71"/>
      <c r="K7" s="72" t="e">
        <f>K2+K3+K4+K5+K6</f>
        <v>#REF!</v>
      </c>
      <c r="L7" s="73">
        <f>L2+L3+L4+L5+L6</f>
        <v>1253834</v>
      </c>
      <c r="M7" s="73">
        <f t="shared" ref="M7:BH7" si="12">M2+M3+M4+M5+M6</f>
        <v>851406</v>
      </c>
      <c r="N7" s="73">
        <f>N2+N3+N4+N5+N6</f>
        <v>667777</v>
      </c>
      <c r="O7" s="73">
        <f t="shared" si="12"/>
        <v>2773017</v>
      </c>
      <c r="P7" s="73">
        <f t="shared" si="12"/>
        <v>642422</v>
      </c>
      <c r="Q7" s="73">
        <f t="shared" si="12"/>
        <v>427200</v>
      </c>
      <c r="R7" s="73">
        <f t="shared" si="12"/>
        <v>315974</v>
      </c>
      <c r="S7" s="73">
        <f t="shared" si="12"/>
        <v>798033</v>
      </c>
      <c r="T7" s="73">
        <f t="shared" si="12"/>
        <v>924750</v>
      </c>
      <c r="U7" s="73">
        <f t="shared" si="12"/>
        <v>838250</v>
      </c>
      <c r="V7" s="73">
        <f t="shared" si="12"/>
        <v>754750</v>
      </c>
      <c r="W7" s="73">
        <f t="shared" si="12"/>
        <v>7474396</v>
      </c>
      <c r="X7" s="73" t="e">
        <f t="shared" si="12"/>
        <v>#REF!</v>
      </c>
      <c r="Y7" s="73"/>
      <c r="Z7" s="73"/>
      <c r="AA7" s="73"/>
      <c r="AB7" s="73">
        <f t="shared" si="12"/>
        <v>0</v>
      </c>
      <c r="AC7" s="73" t="e">
        <f t="shared" si="12"/>
        <v>#REF!</v>
      </c>
      <c r="AD7" s="73" t="e">
        <f t="shared" si="12"/>
        <v>#REF!</v>
      </c>
      <c r="AE7" s="73" t="e">
        <f t="shared" si="12"/>
        <v>#REF!</v>
      </c>
      <c r="AF7" s="73" t="e">
        <f t="shared" si="12"/>
        <v>#REF!</v>
      </c>
      <c r="AG7" s="73" t="e">
        <f t="shared" si="12"/>
        <v>#REF!</v>
      </c>
      <c r="AH7" s="73" t="e">
        <f t="shared" si="12"/>
        <v>#REF!</v>
      </c>
      <c r="AI7" s="73" t="e">
        <f t="shared" si="12"/>
        <v>#REF!</v>
      </c>
      <c r="AJ7" s="73" t="e">
        <f t="shared" si="12"/>
        <v>#REF!</v>
      </c>
      <c r="AK7" s="73" t="e">
        <f t="shared" si="12"/>
        <v>#REF!</v>
      </c>
      <c r="AL7" s="73" t="e">
        <f t="shared" si="12"/>
        <v>#REF!</v>
      </c>
      <c r="AM7" s="73">
        <f t="shared" si="12"/>
        <v>0</v>
      </c>
      <c r="AN7" s="73" t="e">
        <f t="shared" si="12"/>
        <v>#REF!</v>
      </c>
      <c r="AO7" s="73" t="e">
        <f t="shared" si="12"/>
        <v>#REF!</v>
      </c>
      <c r="AP7" s="73" t="e">
        <f t="shared" si="12"/>
        <v>#REF!</v>
      </c>
      <c r="AQ7" s="73" t="e">
        <f t="shared" si="12"/>
        <v>#REF!</v>
      </c>
      <c r="AR7" s="73" t="e">
        <f t="shared" si="12"/>
        <v>#REF!</v>
      </c>
      <c r="AS7" s="73" t="e">
        <f t="shared" si="12"/>
        <v>#REF!</v>
      </c>
      <c r="AT7" s="73" t="e">
        <f t="shared" si="12"/>
        <v>#REF!</v>
      </c>
      <c r="AU7" s="73" t="e">
        <f t="shared" si="12"/>
        <v>#REF!</v>
      </c>
      <c r="AV7" s="73" t="e">
        <f t="shared" si="12"/>
        <v>#REF!</v>
      </c>
      <c r="AW7" s="73" t="e">
        <f t="shared" si="12"/>
        <v>#REF!</v>
      </c>
      <c r="AX7" s="73">
        <f t="shared" si="12"/>
        <v>0</v>
      </c>
      <c r="AY7" s="73">
        <f t="shared" si="12"/>
        <v>0</v>
      </c>
      <c r="AZ7" s="73">
        <f t="shared" si="12"/>
        <v>11748</v>
      </c>
      <c r="BA7" s="73">
        <f t="shared" si="12"/>
        <v>0</v>
      </c>
      <c r="BB7" s="73">
        <f t="shared" si="12"/>
        <v>29217</v>
      </c>
      <c r="BC7" s="73">
        <f t="shared" si="12"/>
        <v>0</v>
      </c>
      <c r="BD7" s="73">
        <f t="shared" si="12"/>
        <v>46942</v>
      </c>
      <c r="BE7" s="73">
        <f t="shared" si="12"/>
        <v>0</v>
      </c>
      <c r="BF7" s="73">
        <f t="shared" si="12"/>
        <v>0</v>
      </c>
      <c r="BG7" s="73">
        <f t="shared" si="12"/>
        <v>0</v>
      </c>
      <c r="BH7" s="73">
        <f t="shared" si="12"/>
        <v>25000</v>
      </c>
      <c r="BJ7" s="66"/>
      <c r="BL7" s="67"/>
      <c r="BM7" s="34"/>
    </row>
    <row r="8" spans="1:65" ht="15.75" customHeight="1" x14ac:dyDescent="0.2">
      <c r="D8" s="58"/>
      <c r="H8" s="59"/>
      <c r="I8" s="393" t="s">
        <v>38</v>
      </c>
      <c r="J8" s="394"/>
      <c r="K8" s="60">
        <f t="shared" ref="K8:X8" si="13">K151+K152</f>
        <v>116000</v>
      </c>
      <c r="L8" s="60">
        <f t="shared" si="13"/>
        <v>105000</v>
      </c>
      <c r="M8" s="60">
        <f t="shared" si="13"/>
        <v>106000</v>
      </c>
      <c r="N8" s="60">
        <f t="shared" si="13"/>
        <v>105700</v>
      </c>
      <c r="O8" s="61">
        <f t="shared" si="13"/>
        <v>316700</v>
      </c>
      <c r="P8" s="60">
        <f t="shared" si="13"/>
        <v>110000</v>
      </c>
      <c r="Q8" s="60">
        <f t="shared" si="13"/>
        <v>110000</v>
      </c>
      <c r="R8" s="60">
        <f t="shared" si="13"/>
        <v>110000</v>
      </c>
      <c r="S8" s="60">
        <f t="shared" si="13"/>
        <v>150000</v>
      </c>
      <c r="T8" s="60">
        <f t="shared" si="13"/>
        <v>150000</v>
      </c>
      <c r="U8" s="60">
        <f t="shared" si="13"/>
        <v>150000</v>
      </c>
      <c r="V8" s="60">
        <f t="shared" si="13"/>
        <v>150000</v>
      </c>
      <c r="W8" s="61">
        <f>W151+W152</f>
        <v>1246700</v>
      </c>
      <c r="X8" s="60">
        <f t="shared" si="13"/>
        <v>1362700</v>
      </c>
      <c r="Y8" s="60"/>
      <c r="Z8" s="60"/>
      <c r="AA8" s="60"/>
      <c r="AB8" s="62">
        <f t="shared" ref="AB8:BH8" si="14">AB151+AB152</f>
        <v>0</v>
      </c>
      <c r="AC8" s="63">
        <f t="shared" si="14"/>
        <v>0</v>
      </c>
      <c r="AD8" s="63">
        <f t="shared" si="14"/>
        <v>0</v>
      </c>
      <c r="AE8" s="63">
        <f t="shared" si="14"/>
        <v>0</v>
      </c>
      <c r="AF8" s="63">
        <f t="shared" si="14"/>
        <v>0</v>
      </c>
      <c r="AG8" s="63">
        <f t="shared" si="14"/>
        <v>0</v>
      </c>
      <c r="AH8" s="63">
        <f t="shared" si="14"/>
        <v>0</v>
      </c>
      <c r="AI8" s="63">
        <f t="shared" si="14"/>
        <v>0</v>
      </c>
      <c r="AJ8" s="63">
        <f t="shared" si="14"/>
        <v>0</v>
      </c>
      <c r="AK8" s="63">
        <f t="shared" si="14"/>
        <v>0</v>
      </c>
      <c r="AL8" s="63">
        <f t="shared" si="14"/>
        <v>0</v>
      </c>
      <c r="AM8" s="62">
        <f t="shared" si="14"/>
        <v>0</v>
      </c>
      <c r="AN8" s="64">
        <f t="shared" si="14"/>
        <v>7000</v>
      </c>
      <c r="AO8" s="64" t="e">
        <f t="shared" si="14"/>
        <v>#REF!</v>
      </c>
      <c r="AP8" s="64" t="e">
        <f t="shared" si="14"/>
        <v>#REF!</v>
      </c>
      <c r="AQ8" s="64" t="e">
        <f t="shared" si="14"/>
        <v>#REF!</v>
      </c>
      <c r="AR8" s="64" t="e">
        <f t="shared" si="14"/>
        <v>#REF!</v>
      </c>
      <c r="AS8" s="64" t="e">
        <f t="shared" si="14"/>
        <v>#REF!</v>
      </c>
      <c r="AT8" s="64" t="e">
        <f t="shared" si="14"/>
        <v>#REF!</v>
      </c>
      <c r="AU8" s="64" t="e">
        <f t="shared" si="14"/>
        <v>#REF!</v>
      </c>
      <c r="AV8" s="64" t="e">
        <f t="shared" si="14"/>
        <v>#REF!</v>
      </c>
      <c r="AW8" s="64" t="e">
        <f t="shared" si="14"/>
        <v>#REF!</v>
      </c>
      <c r="AX8" s="65">
        <f t="shared" si="14"/>
        <v>0</v>
      </c>
      <c r="AY8" s="65">
        <f t="shared" si="14"/>
        <v>0</v>
      </c>
      <c r="AZ8" s="65">
        <f t="shared" si="14"/>
        <v>0</v>
      </c>
      <c r="BA8" s="65">
        <f t="shared" si="14"/>
        <v>0</v>
      </c>
      <c r="BB8" s="65">
        <f t="shared" si="14"/>
        <v>0</v>
      </c>
      <c r="BC8" s="65">
        <f t="shared" si="14"/>
        <v>0</v>
      </c>
      <c r="BD8" s="65">
        <f t="shared" si="14"/>
        <v>0</v>
      </c>
      <c r="BE8" s="65">
        <f t="shared" si="14"/>
        <v>0</v>
      </c>
      <c r="BF8" s="65">
        <f t="shared" si="14"/>
        <v>0</v>
      </c>
      <c r="BG8" s="65">
        <f t="shared" si="14"/>
        <v>0</v>
      </c>
      <c r="BH8" s="65">
        <f t="shared" si="14"/>
        <v>0</v>
      </c>
      <c r="BJ8" s="66"/>
      <c r="BL8" s="67"/>
      <c r="BM8" s="34"/>
    </row>
    <row r="9" spans="1:65" ht="15.75" customHeight="1" x14ac:dyDescent="0.2">
      <c r="D9" s="58"/>
      <c r="H9" s="59"/>
      <c r="I9" s="393" t="s">
        <v>41</v>
      </c>
      <c r="J9" s="394"/>
      <c r="K9" s="60">
        <f>K142+K143+K145+K153+K154+K147</f>
        <v>85500</v>
      </c>
      <c r="L9" s="60">
        <f t="shared" ref="L9:BH9" si="15">L142+L143+L145+L153+L154+L147</f>
        <v>123500</v>
      </c>
      <c r="M9" s="60">
        <f t="shared" si="15"/>
        <v>48000</v>
      </c>
      <c r="N9" s="60">
        <f t="shared" si="15"/>
        <v>29000</v>
      </c>
      <c r="O9" s="61">
        <f t="shared" si="15"/>
        <v>200500</v>
      </c>
      <c r="P9" s="60">
        <f t="shared" si="15"/>
        <v>0</v>
      </c>
      <c r="Q9" s="60">
        <f t="shared" si="15"/>
        <v>0</v>
      </c>
      <c r="R9" s="60">
        <f t="shared" si="15"/>
        <v>0</v>
      </c>
      <c r="S9" s="60">
        <f t="shared" si="15"/>
        <v>0</v>
      </c>
      <c r="T9" s="60">
        <f t="shared" si="15"/>
        <v>0</v>
      </c>
      <c r="U9" s="60">
        <f t="shared" si="15"/>
        <v>0</v>
      </c>
      <c r="V9" s="60">
        <f t="shared" si="15"/>
        <v>0</v>
      </c>
      <c r="W9" s="61">
        <f t="shared" si="15"/>
        <v>200500</v>
      </c>
      <c r="X9" s="60">
        <f t="shared" si="15"/>
        <v>286000</v>
      </c>
      <c r="Y9" s="60"/>
      <c r="Z9" s="60"/>
      <c r="AA9" s="60"/>
      <c r="AB9" s="62">
        <f t="shared" si="15"/>
        <v>0</v>
      </c>
      <c r="AC9" s="63">
        <f t="shared" si="15"/>
        <v>0</v>
      </c>
      <c r="AD9" s="63">
        <f t="shared" si="15"/>
        <v>0</v>
      </c>
      <c r="AE9" s="63">
        <f t="shared" si="15"/>
        <v>0</v>
      </c>
      <c r="AF9" s="63">
        <f t="shared" si="15"/>
        <v>0</v>
      </c>
      <c r="AG9" s="63">
        <f t="shared" si="15"/>
        <v>0</v>
      </c>
      <c r="AH9" s="63">
        <f t="shared" si="15"/>
        <v>0</v>
      </c>
      <c r="AI9" s="63">
        <f t="shared" si="15"/>
        <v>0</v>
      </c>
      <c r="AJ9" s="63">
        <f t="shared" si="15"/>
        <v>0</v>
      </c>
      <c r="AK9" s="63">
        <f t="shared" si="15"/>
        <v>0</v>
      </c>
      <c r="AL9" s="63">
        <f t="shared" si="15"/>
        <v>0</v>
      </c>
      <c r="AM9" s="62">
        <f t="shared" si="15"/>
        <v>0</v>
      </c>
      <c r="AN9" s="64">
        <f t="shared" si="15"/>
        <v>0</v>
      </c>
      <c r="AO9" s="64" t="e">
        <f t="shared" si="15"/>
        <v>#REF!</v>
      </c>
      <c r="AP9" s="64" t="e">
        <f t="shared" si="15"/>
        <v>#REF!</v>
      </c>
      <c r="AQ9" s="64" t="e">
        <f t="shared" si="15"/>
        <v>#REF!</v>
      </c>
      <c r="AR9" s="64" t="e">
        <f t="shared" si="15"/>
        <v>#REF!</v>
      </c>
      <c r="AS9" s="64" t="e">
        <f t="shared" si="15"/>
        <v>#REF!</v>
      </c>
      <c r="AT9" s="64" t="e">
        <f t="shared" si="15"/>
        <v>#REF!</v>
      </c>
      <c r="AU9" s="64" t="e">
        <f t="shared" si="15"/>
        <v>#REF!</v>
      </c>
      <c r="AV9" s="64" t="e">
        <f t="shared" si="15"/>
        <v>#REF!</v>
      </c>
      <c r="AW9" s="64" t="e">
        <f t="shared" si="15"/>
        <v>#REF!</v>
      </c>
      <c r="AX9" s="65">
        <f t="shared" si="15"/>
        <v>0</v>
      </c>
      <c r="AY9" s="65">
        <f t="shared" si="15"/>
        <v>0</v>
      </c>
      <c r="AZ9" s="65">
        <f t="shared" si="15"/>
        <v>0</v>
      </c>
      <c r="BA9" s="65">
        <f t="shared" si="15"/>
        <v>0</v>
      </c>
      <c r="BB9" s="65">
        <f t="shared" si="15"/>
        <v>0</v>
      </c>
      <c r="BC9" s="65">
        <f t="shared" si="15"/>
        <v>0</v>
      </c>
      <c r="BD9" s="65">
        <f t="shared" si="15"/>
        <v>0</v>
      </c>
      <c r="BE9" s="65">
        <f t="shared" si="15"/>
        <v>0</v>
      </c>
      <c r="BF9" s="65">
        <f t="shared" si="15"/>
        <v>0</v>
      </c>
      <c r="BG9" s="65">
        <f t="shared" si="15"/>
        <v>0</v>
      </c>
      <c r="BH9" s="65">
        <f t="shared" si="15"/>
        <v>0</v>
      </c>
      <c r="BJ9" s="66"/>
      <c r="BL9" s="67"/>
      <c r="BM9" s="34"/>
    </row>
    <row r="10" spans="1:65" ht="16" x14ac:dyDescent="0.2">
      <c r="D10" s="58"/>
      <c r="H10" s="59"/>
      <c r="I10" s="393" t="s">
        <v>44</v>
      </c>
      <c r="J10" s="394"/>
      <c r="K10" s="60">
        <f t="shared" ref="K10:X10" si="16">K146+K150</f>
        <v>3000</v>
      </c>
      <c r="L10" s="60">
        <f t="shared" si="16"/>
        <v>16000</v>
      </c>
      <c r="M10" s="60">
        <f t="shared" si="16"/>
        <v>15000</v>
      </c>
      <c r="N10" s="60">
        <f t="shared" si="16"/>
        <v>0</v>
      </c>
      <c r="O10" s="61">
        <f t="shared" si="16"/>
        <v>31000</v>
      </c>
      <c r="P10" s="60">
        <f t="shared" si="16"/>
        <v>0</v>
      </c>
      <c r="Q10" s="60">
        <f t="shared" si="16"/>
        <v>0</v>
      </c>
      <c r="R10" s="60">
        <f t="shared" si="16"/>
        <v>0</v>
      </c>
      <c r="S10" s="60">
        <f t="shared" si="16"/>
        <v>0</v>
      </c>
      <c r="T10" s="60">
        <f t="shared" si="16"/>
        <v>0</v>
      </c>
      <c r="U10" s="60">
        <f t="shared" si="16"/>
        <v>0</v>
      </c>
      <c r="V10" s="60">
        <f t="shared" si="16"/>
        <v>0</v>
      </c>
      <c r="W10" s="61">
        <f t="shared" si="16"/>
        <v>31000</v>
      </c>
      <c r="X10" s="60">
        <f t="shared" si="16"/>
        <v>34000</v>
      </c>
      <c r="Y10" s="60"/>
      <c r="Z10" s="60"/>
      <c r="AA10" s="60"/>
      <c r="AB10" s="62">
        <f t="shared" ref="AB10:BH10" si="17">AB146+AB150</f>
        <v>0</v>
      </c>
      <c r="AC10" s="63">
        <f t="shared" si="17"/>
        <v>0</v>
      </c>
      <c r="AD10" s="63">
        <f t="shared" si="17"/>
        <v>0</v>
      </c>
      <c r="AE10" s="63">
        <f t="shared" si="17"/>
        <v>0</v>
      </c>
      <c r="AF10" s="63">
        <f t="shared" si="17"/>
        <v>0</v>
      </c>
      <c r="AG10" s="63">
        <f t="shared" si="17"/>
        <v>0</v>
      </c>
      <c r="AH10" s="63">
        <f t="shared" si="17"/>
        <v>0</v>
      </c>
      <c r="AI10" s="63">
        <f t="shared" si="17"/>
        <v>0</v>
      </c>
      <c r="AJ10" s="63">
        <f t="shared" si="17"/>
        <v>0</v>
      </c>
      <c r="AK10" s="63">
        <f t="shared" si="17"/>
        <v>0</v>
      </c>
      <c r="AL10" s="63">
        <f t="shared" si="17"/>
        <v>0</v>
      </c>
      <c r="AM10" s="62">
        <f t="shared" si="17"/>
        <v>0</v>
      </c>
      <c r="AN10" s="64">
        <f t="shared" si="17"/>
        <v>0</v>
      </c>
      <c r="AO10" s="64" t="e">
        <f t="shared" si="17"/>
        <v>#REF!</v>
      </c>
      <c r="AP10" s="64" t="e">
        <f t="shared" si="17"/>
        <v>#REF!</v>
      </c>
      <c r="AQ10" s="64" t="e">
        <f t="shared" si="17"/>
        <v>#REF!</v>
      </c>
      <c r="AR10" s="64" t="e">
        <f t="shared" si="17"/>
        <v>#REF!</v>
      </c>
      <c r="AS10" s="64" t="e">
        <f t="shared" si="17"/>
        <v>#REF!</v>
      </c>
      <c r="AT10" s="64" t="e">
        <f t="shared" si="17"/>
        <v>#REF!</v>
      </c>
      <c r="AU10" s="64" t="e">
        <f t="shared" si="17"/>
        <v>#REF!</v>
      </c>
      <c r="AV10" s="64" t="e">
        <f t="shared" si="17"/>
        <v>#REF!</v>
      </c>
      <c r="AW10" s="64" t="e">
        <f t="shared" si="17"/>
        <v>#REF!</v>
      </c>
      <c r="AX10" s="65">
        <f t="shared" si="17"/>
        <v>0</v>
      </c>
      <c r="AY10" s="65">
        <f t="shared" si="17"/>
        <v>0</v>
      </c>
      <c r="AZ10" s="65">
        <f t="shared" si="17"/>
        <v>0</v>
      </c>
      <c r="BA10" s="65">
        <f t="shared" si="17"/>
        <v>0</v>
      </c>
      <c r="BB10" s="65">
        <f t="shared" si="17"/>
        <v>0</v>
      </c>
      <c r="BC10" s="65">
        <f t="shared" si="17"/>
        <v>0</v>
      </c>
      <c r="BD10" s="65">
        <f t="shared" si="17"/>
        <v>0</v>
      </c>
      <c r="BE10" s="65">
        <f t="shared" si="17"/>
        <v>0</v>
      </c>
      <c r="BF10" s="65">
        <f t="shared" si="17"/>
        <v>0</v>
      </c>
      <c r="BG10" s="65">
        <f t="shared" si="17"/>
        <v>0</v>
      </c>
      <c r="BH10" s="65">
        <f t="shared" si="17"/>
        <v>0</v>
      </c>
      <c r="BJ10" s="66"/>
      <c r="BL10" s="67"/>
      <c r="BM10" s="34"/>
    </row>
    <row r="11" spans="1:65" ht="16" x14ac:dyDescent="0.2">
      <c r="D11" s="58"/>
      <c r="H11" s="59"/>
      <c r="I11" s="393" t="s">
        <v>47</v>
      </c>
      <c r="J11" s="394"/>
      <c r="K11" s="60">
        <f t="shared" ref="K11:X11" si="18">K144+K149</f>
        <v>0</v>
      </c>
      <c r="L11" s="60">
        <f t="shared" si="18"/>
        <v>0</v>
      </c>
      <c r="M11" s="60">
        <f t="shared" si="18"/>
        <v>15000</v>
      </c>
      <c r="N11" s="60">
        <f t="shared" si="18"/>
        <v>15000</v>
      </c>
      <c r="O11" s="61">
        <f t="shared" si="18"/>
        <v>30000</v>
      </c>
      <c r="P11" s="60">
        <f t="shared" si="18"/>
        <v>38000</v>
      </c>
      <c r="Q11" s="60">
        <f t="shared" si="18"/>
        <v>50000</v>
      </c>
      <c r="R11" s="60">
        <f t="shared" si="18"/>
        <v>53000</v>
      </c>
      <c r="S11" s="60">
        <f t="shared" si="18"/>
        <v>0</v>
      </c>
      <c r="T11" s="60">
        <f t="shared" si="18"/>
        <v>0</v>
      </c>
      <c r="U11" s="60">
        <f t="shared" si="18"/>
        <v>0</v>
      </c>
      <c r="V11" s="60">
        <f t="shared" si="18"/>
        <v>0</v>
      </c>
      <c r="W11" s="61">
        <f t="shared" si="18"/>
        <v>171000</v>
      </c>
      <c r="X11" s="60">
        <f t="shared" si="18"/>
        <v>171000</v>
      </c>
      <c r="Y11" s="60"/>
      <c r="Z11" s="60"/>
      <c r="AA11" s="60"/>
      <c r="AB11" s="62">
        <f t="shared" ref="AB11:BH11" si="19">AB144+AB149</f>
        <v>0</v>
      </c>
      <c r="AC11" s="63">
        <f t="shared" si="19"/>
        <v>0</v>
      </c>
      <c r="AD11" s="63">
        <f t="shared" si="19"/>
        <v>0</v>
      </c>
      <c r="AE11" s="63">
        <f t="shared" si="19"/>
        <v>0</v>
      </c>
      <c r="AF11" s="63">
        <f t="shared" si="19"/>
        <v>0</v>
      </c>
      <c r="AG11" s="63">
        <f t="shared" si="19"/>
        <v>0</v>
      </c>
      <c r="AH11" s="63">
        <f t="shared" si="19"/>
        <v>0</v>
      </c>
      <c r="AI11" s="63">
        <f t="shared" si="19"/>
        <v>0</v>
      </c>
      <c r="AJ11" s="63">
        <f t="shared" si="19"/>
        <v>0</v>
      </c>
      <c r="AK11" s="63">
        <f t="shared" si="19"/>
        <v>0</v>
      </c>
      <c r="AL11" s="63">
        <f t="shared" si="19"/>
        <v>0</v>
      </c>
      <c r="AM11" s="62">
        <f t="shared" si="19"/>
        <v>0</v>
      </c>
      <c r="AN11" s="64">
        <f t="shared" si="19"/>
        <v>0</v>
      </c>
      <c r="AO11" s="64">
        <f t="shared" si="19"/>
        <v>0</v>
      </c>
      <c r="AP11" s="64" t="e">
        <f t="shared" si="19"/>
        <v>#REF!</v>
      </c>
      <c r="AQ11" s="64" t="e">
        <f t="shared" si="19"/>
        <v>#REF!</v>
      </c>
      <c r="AR11" s="64" t="e">
        <f t="shared" si="19"/>
        <v>#REF!</v>
      </c>
      <c r="AS11" s="64" t="e">
        <f t="shared" si="19"/>
        <v>#REF!</v>
      </c>
      <c r="AT11" s="64" t="e">
        <f t="shared" si="19"/>
        <v>#REF!</v>
      </c>
      <c r="AU11" s="64" t="e">
        <f t="shared" si="19"/>
        <v>#REF!</v>
      </c>
      <c r="AV11" s="64" t="e">
        <f t="shared" si="19"/>
        <v>#REF!</v>
      </c>
      <c r="AW11" s="64" t="e">
        <f t="shared" si="19"/>
        <v>#REF!</v>
      </c>
      <c r="AX11" s="65">
        <f t="shared" si="19"/>
        <v>0</v>
      </c>
      <c r="AY11" s="65">
        <f t="shared" si="19"/>
        <v>0</v>
      </c>
      <c r="AZ11" s="65">
        <f t="shared" si="19"/>
        <v>0</v>
      </c>
      <c r="BA11" s="65">
        <f t="shared" si="19"/>
        <v>0</v>
      </c>
      <c r="BB11" s="65">
        <f t="shared" si="19"/>
        <v>0</v>
      </c>
      <c r="BC11" s="65">
        <f t="shared" si="19"/>
        <v>0</v>
      </c>
      <c r="BD11" s="65">
        <f t="shared" si="19"/>
        <v>0</v>
      </c>
      <c r="BE11" s="65">
        <f t="shared" si="19"/>
        <v>0</v>
      </c>
      <c r="BF11" s="65">
        <f t="shared" si="19"/>
        <v>0</v>
      </c>
      <c r="BG11" s="65">
        <f t="shared" si="19"/>
        <v>0</v>
      </c>
      <c r="BH11" s="65">
        <f t="shared" si="19"/>
        <v>0</v>
      </c>
      <c r="BJ11" s="66"/>
      <c r="BL11" s="67"/>
      <c r="BM11" s="34"/>
    </row>
    <row r="12" spans="1:65" ht="16" x14ac:dyDescent="0.2">
      <c r="D12" s="58"/>
      <c r="H12" s="59"/>
      <c r="I12" s="393" t="s">
        <v>50</v>
      </c>
      <c r="J12" s="394"/>
      <c r="K12" s="60">
        <f t="shared" ref="K12:X12" si="20">K148</f>
        <v>0</v>
      </c>
      <c r="L12" s="60">
        <f t="shared" si="20"/>
        <v>0</v>
      </c>
      <c r="M12" s="60">
        <f t="shared" si="20"/>
        <v>0</v>
      </c>
      <c r="N12" s="60">
        <f t="shared" si="20"/>
        <v>0</v>
      </c>
      <c r="O12" s="61">
        <f t="shared" si="20"/>
        <v>0</v>
      </c>
      <c r="P12" s="60">
        <f t="shared" si="20"/>
        <v>0</v>
      </c>
      <c r="Q12" s="60">
        <f t="shared" si="20"/>
        <v>0</v>
      </c>
      <c r="R12" s="60">
        <f t="shared" si="20"/>
        <v>0</v>
      </c>
      <c r="S12" s="60">
        <f t="shared" si="20"/>
        <v>34000</v>
      </c>
      <c r="T12" s="60">
        <f t="shared" si="20"/>
        <v>34000</v>
      </c>
      <c r="U12" s="60">
        <f t="shared" si="20"/>
        <v>0</v>
      </c>
      <c r="V12" s="60">
        <f t="shared" si="20"/>
        <v>0</v>
      </c>
      <c r="W12" s="61">
        <f t="shared" si="20"/>
        <v>68000</v>
      </c>
      <c r="X12" s="60">
        <f t="shared" si="20"/>
        <v>68000</v>
      </c>
      <c r="Y12" s="60"/>
      <c r="Z12" s="60"/>
      <c r="AA12" s="60"/>
      <c r="AB12" s="62">
        <f t="shared" ref="AB12:BH12" si="21">AB148</f>
        <v>0</v>
      </c>
      <c r="AC12" s="63">
        <f t="shared" si="21"/>
        <v>0</v>
      </c>
      <c r="AD12" s="63">
        <f t="shared" si="21"/>
        <v>0</v>
      </c>
      <c r="AE12" s="63">
        <f t="shared" si="21"/>
        <v>0</v>
      </c>
      <c r="AF12" s="63">
        <f t="shared" si="21"/>
        <v>0</v>
      </c>
      <c r="AG12" s="63">
        <f t="shared" si="21"/>
        <v>0</v>
      </c>
      <c r="AH12" s="63">
        <f t="shared" si="21"/>
        <v>0</v>
      </c>
      <c r="AI12" s="63">
        <f t="shared" si="21"/>
        <v>0</v>
      </c>
      <c r="AJ12" s="63">
        <f t="shared" si="21"/>
        <v>0</v>
      </c>
      <c r="AK12" s="63">
        <f t="shared" si="21"/>
        <v>0</v>
      </c>
      <c r="AL12" s="63">
        <f t="shared" si="21"/>
        <v>0</v>
      </c>
      <c r="AM12" s="62">
        <f t="shared" si="21"/>
        <v>0</v>
      </c>
      <c r="AN12" s="64">
        <f t="shared" si="21"/>
        <v>0</v>
      </c>
      <c r="AO12" s="64">
        <f t="shared" si="21"/>
        <v>0</v>
      </c>
      <c r="AP12" s="64">
        <f t="shared" si="21"/>
        <v>0</v>
      </c>
      <c r="AQ12" s="64">
        <f t="shared" si="21"/>
        <v>0</v>
      </c>
      <c r="AR12" s="64">
        <f t="shared" si="21"/>
        <v>0</v>
      </c>
      <c r="AS12" s="64">
        <f t="shared" si="21"/>
        <v>0</v>
      </c>
      <c r="AT12" s="64">
        <f t="shared" si="21"/>
        <v>0</v>
      </c>
      <c r="AU12" s="64">
        <f t="shared" si="21"/>
        <v>0</v>
      </c>
      <c r="AV12" s="64" t="e">
        <f t="shared" si="21"/>
        <v>#REF!</v>
      </c>
      <c r="AW12" s="64" t="e">
        <f t="shared" si="21"/>
        <v>#REF!</v>
      </c>
      <c r="AX12" s="64">
        <f t="shared" si="21"/>
        <v>0</v>
      </c>
      <c r="AY12" s="64">
        <f t="shared" si="21"/>
        <v>0</v>
      </c>
      <c r="AZ12" s="64">
        <f t="shared" si="21"/>
        <v>0</v>
      </c>
      <c r="BA12" s="64">
        <f t="shared" si="21"/>
        <v>0</v>
      </c>
      <c r="BB12" s="64">
        <f t="shared" si="21"/>
        <v>0</v>
      </c>
      <c r="BC12" s="64">
        <f t="shared" si="21"/>
        <v>0</v>
      </c>
      <c r="BD12" s="64">
        <f t="shared" si="21"/>
        <v>0</v>
      </c>
      <c r="BE12" s="64">
        <f t="shared" si="21"/>
        <v>0</v>
      </c>
      <c r="BF12" s="64">
        <f t="shared" si="21"/>
        <v>0</v>
      </c>
      <c r="BG12" s="64">
        <f t="shared" si="21"/>
        <v>0</v>
      </c>
      <c r="BH12" s="64">
        <f t="shared" si="21"/>
        <v>0</v>
      </c>
      <c r="BJ12" s="66"/>
      <c r="BL12" s="67"/>
      <c r="BM12" s="34"/>
    </row>
    <row r="13" spans="1:65" s="4" customFormat="1" ht="16" x14ac:dyDescent="0.2">
      <c r="A13" s="57"/>
      <c r="D13" s="68"/>
      <c r="E13" s="74"/>
      <c r="F13" s="74"/>
      <c r="G13" s="74"/>
      <c r="H13" s="69"/>
      <c r="I13" s="70" t="s">
        <v>53</v>
      </c>
      <c r="J13" s="71"/>
      <c r="K13" s="73">
        <f>K8+K9+K10+K11+K12</f>
        <v>204500</v>
      </c>
      <c r="L13" s="73">
        <f t="shared" ref="L13:BH13" si="22">L8+L9+L10+L11+L12</f>
        <v>244500</v>
      </c>
      <c r="M13" s="73">
        <f t="shared" si="22"/>
        <v>184000</v>
      </c>
      <c r="N13" s="73">
        <f t="shared" si="22"/>
        <v>149700</v>
      </c>
      <c r="O13" s="73">
        <f t="shared" si="22"/>
        <v>578200</v>
      </c>
      <c r="P13" s="73">
        <f t="shared" si="22"/>
        <v>148000</v>
      </c>
      <c r="Q13" s="73">
        <f t="shared" si="22"/>
        <v>160000</v>
      </c>
      <c r="R13" s="73">
        <f t="shared" si="22"/>
        <v>163000</v>
      </c>
      <c r="S13" s="73">
        <f t="shared" si="22"/>
        <v>184000</v>
      </c>
      <c r="T13" s="73">
        <f t="shared" si="22"/>
        <v>184000</v>
      </c>
      <c r="U13" s="73">
        <f t="shared" si="22"/>
        <v>150000</v>
      </c>
      <c r="V13" s="73">
        <f t="shared" si="22"/>
        <v>150000</v>
      </c>
      <c r="W13" s="73">
        <f t="shared" si="22"/>
        <v>1717200</v>
      </c>
      <c r="X13" s="73">
        <f t="shared" si="22"/>
        <v>1921700</v>
      </c>
      <c r="Y13" s="73"/>
      <c r="Z13" s="73"/>
      <c r="AA13" s="73"/>
      <c r="AB13" s="73">
        <f t="shared" si="22"/>
        <v>0</v>
      </c>
      <c r="AC13" s="73">
        <f t="shared" si="22"/>
        <v>0</v>
      </c>
      <c r="AD13" s="73">
        <f t="shared" si="22"/>
        <v>0</v>
      </c>
      <c r="AE13" s="73">
        <f t="shared" si="22"/>
        <v>0</v>
      </c>
      <c r="AF13" s="73">
        <f t="shared" si="22"/>
        <v>0</v>
      </c>
      <c r="AG13" s="73">
        <f t="shared" si="22"/>
        <v>0</v>
      </c>
      <c r="AH13" s="73">
        <f t="shared" si="22"/>
        <v>0</v>
      </c>
      <c r="AI13" s="73">
        <f t="shared" si="22"/>
        <v>0</v>
      </c>
      <c r="AJ13" s="73">
        <f t="shared" si="22"/>
        <v>0</v>
      </c>
      <c r="AK13" s="73">
        <f t="shared" si="22"/>
        <v>0</v>
      </c>
      <c r="AL13" s="73">
        <f t="shared" si="22"/>
        <v>0</v>
      </c>
      <c r="AM13" s="73">
        <f t="shared" si="22"/>
        <v>0</v>
      </c>
      <c r="AN13" s="73">
        <f t="shared" si="22"/>
        <v>7000</v>
      </c>
      <c r="AO13" s="73" t="e">
        <f t="shared" si="22"/>
        <v>#REF!</v>
      </c>
      <c r="AP13" s="73" t="e">
        <f t="shared" si="22"/>
        <v>#REF!</v>
      </c>
      <c r="AQ13" s="73" t="e">
        <f t="shared" si="22"/>
        <v>#REF!</v>
      </c>
      <c r="AR13" s="73" t="e">
        <f t="shared" si="22"/>
        <v>#REF!</v>
      </c>
      <c r="AS13" s="73" t="e">
        <f t="shared" si="22"/>
        <v>#REF!</v>
      </c>
      <c r="AT13" s="73" t="e">
        <f t="shared" si="22"/>
        <v>#REF!</v>
      </c>
      <c r="AU13" s="73" t="e">
        <f t="shared" si="22"/>
        <v>#REF!</v>
      </c>
      <c r="AV13" s="73" t="e">
        <f t="shared" si="22"/>
        <v>#REF!</v>
      </c>
      <c r="AW13" s="73" t="e">
        <f t="shared" si="22"/>
        <v>#REF!</v>
      </c>
      <c r="AX13" s="73">
        <f t="shared" si="22"/>
        <v>0</v>
      </c>
      <c r="AY13" s="73">
        <f t="shared" si="22"/>
        <v>0</v>
      </c>
      <c r="AZ13" s="73">
        <f t="shared" si="22"/>
        <v>0</v>
      </c>
      <c r="BA13" s="73">
        <f t="shared" si="22"/>
        <v>0</v>
      </c>
      <c r="BB13" s="73">
        <f t="shared" si="22"/>
        <v>0</v>
      </c>
      <c r="BC13" s="73">
        <f t="shared" si="22"/>
        <v>0</v>
      </c>
      <c r="BD13" s="73">
        <f t="shared" si="22"/>
        <v>0</v>
      </c>
      <c r="BE13" s="73">
        <f t="shared" si="22"/>
        <v>0</v>
      </c>
      <c r="BF13" s="73">
        <f t="shared" si="22"/>
        <v>0</v>
      </c>
      <c r="BG13" s="73">
        <f t="shared" si="22"/>
        <v>0</v>
      </c>
      <c r="BH13" s="73">
        <f t="shared" si="22"/>
        <v>0</v>
      </c>
      <c r="BJ13" s="66"/>
      <c r="BL13" s="67"/>
      <c r="BM13" s="34"/>
    </row>
    <row r="14" spans="1:65" s="4" customFormat="1" ht="16" x14ac:dyDescent="0.2">
      <c r="A14" s="57"/>
      <c r="D14" s="68"/>
      <c r="E14" s="74"/>
      <c r="F14" s="74"/>
      <c r="G14" s="74"/>
      <c r="H14" s="75"/>
      <c r="I14" s="70" t="s">
        <v>56</v>
      </c>
      <c r="J14" s="71"/>
      <c r="K14" s="72" t="e">
        <f t="shared" ref="K14:X14" si="23">K7+K13</f>
        <v>#REF!</v>
      </c>
      <c r="L14" s="73">
        <f t="shared" si="23"/>
        <v>1498334</v>
      </c>
      <c r="M14" s="73">
        <f t="shared" si="23"/>
        <v>1035406</v>
      </c>
      <c r="N14" s="73">
        <f t="shared" si="23"/>
        <v>817477</v>
      </c>
      <c r="O14" s="73">
        <f t="shared" si="23"/>
        <v>3351217</v>
      </c>
      <c r="P14" s="73">
        <f t="shared" si="23"/>
        <v>790422</v>
      </c>
      <c r="Q14" s="73">
        <f t="shared" si="23"/>
        <v>587200</v>
      </c>
      <c r="R14" s="73">
        <f t="shared" si="23"/>
        <v>478974</v>
      </c>
      <c r="S14" s="73">
        <f t="shared" si="23"/>
        <v>982033</v>
      </c>
      <c r="T14" s="73">
        <f t="shared" si="23"/>
        <v>1108750</v>
      </c>
      <c r="U14" s="73">
        <f t="shared" si="23"/>
        <v>988250</v>
      </c>
      <c r="V14" s="73">
        <f t="shared" si="23"/>
        <v>904750</v>
      </c>
      <c r="W14" s="73">
        <f t="shared" si="23"/>
        <v>9191596</v>
      </c>
      <c r="X14" s="73" t="e">
        <f t="shared" si="23"/>
        <v>#REF!</v>
      </c>
      <c r="Y14" s="73"/>
      <c r="Z14" s="73"/>
      <c r="AA14" s="73"/>
      <c r="AB14" s="73">
        <f t="shared" ref="AB14:BH14" si="24">AB7+AB13</f>
        <v>0</v>
      </c>
      <c r="AC14" s="73" t="e">
        <f t="shared" si="24"/>
        <v>#REF!</v>
      </c>
      <c r="AD14" s="73" t="e">
        <f t="shared" si="24"/>
        <v>#REF!</v>
      </c>
      <c r="AE14" s="73" t="e">
        <f t="shared" si="24"/>
        <v>#REF!</v>
      </c>
      <c r="AF14" s="73" t="e">
        <f t="shared" si="24"/>
        <v>#REF!</v>
      </c>
      <c r="AG14" s="73" t="e">
        <f t="shared" si="24"/>
        <v>#REF!</v>
      </c>
      <c r="AH14" s="73" t="e">
        <f t="shared" si="24"/>
        <v>#REF!</v>
      </c>
      <c r="AI14" s="73" t="e">
        <f t="shared" si="24"/>
        <v>#REF!</v>
      </c>
      <c r="AJ14" s="73" t="e">
        <f t="shared" si="24"/>
        <v>#REF!</v>
      </c>
      <c r="AK14" s="73" t="e">
        <f t="shared" si="24"/>
        <v>#REF!</v>
      </c>
      <c r="AL14" s="73" t="e">
        <f t="shared" si="24"/>
        <v>#REF!</v>
      </c>
      <c r="AM14" s="73">
        <f t="shared" si="24"/>
        <v>0</v>
      </c>
      <c r="AN14" s="73" t="e">
        <f t="shared" si="24"/>
        <v>#REF!</v>
      </c>
      <c r="AO14" s="73" t="e">
        <f t="shared" si="24"/>
        <v>#REF!</v>
      </c>
      <c r="AP14" s="73" t="e">
        <f t="shared" si="24"/>
        <v>#REF!</v>
      </c>
      <c r="AQ14" s="73" t="e">
        <f t="shared" si="24"/>
        <v>#REF!</v>
      </c>
      <c r="AR14" s="73" t="e">
        <f t="shared" si="24"/>
        <v>#REF!</v>
      </c>
      <c r="AS14" s="73" t="e">
        <f t="shared" si="24"/>
        <v>#REF!</v>
      </c>
      <c r="AT14" s="73" t="e">
        <f t="shared" si="24"/>
        <v>#REF!</v>
      </c>
      <c r="AU14" s="73" t="e">
        <f t="shared" si="24"/>
        <v>#REF!</v>
      </c>
      <c r="AV14" s="73" t="e">
        <f t="shared" si="24"/>
        <v>#REF!</v>
      </c>
      <c r="AW14" s="73" t="e">
        <f t="shared" si="24"/>
        <v>#REF!</v>
      </c>
      <c r="AX14" s="73">
        <f t="shared" si="24"/>
        <v>0</v>
      </c>
      <c r="AY14" s="73">
        <f t="shared" si="24"/>
        <v>0</v>
      </c>
      <c r="AZ14" s="73">
        <f t="shared" si="24"/>
        <v>11748</v>
      </c>
      <c r="BA14" s="73">
        <f t="shared" si="24"/>
        <v>0</v>
      </c>
      <c r="BB14" s="73">
        <f t="shared" si="24"/>
        <v>29217</v>
      </c>
      <c r="BC14" s="73">
        <f t="shared" si="24"/>
        <v>0</v>
      </c>
      <c r="BD14" s="73">
        <f t="shared" si="24"/>
        <v>46942</v>
      </c>
      <c r="BE14" s="73">
        <f t="shared" si="24"/>
        <v>0</v>
      </c>
      <c r="BF14" s="73">
        <f t="shared" si="24"/>
        <v>0</v>
      </c>
      <c r="BG14" s="73">
        <f t="shared" si="24"/>
        <v>0</v>
      </c>
      <c r="BH14" s="73">
        <f t="shared" si="24"/>
        <v>25000</v>
      </c>
      <c r="BJ14" s="66"/>
      <c r="BL14" s="67"/>
      <c r="BM14" s="34"/>
    </row>
    <row r="15" spans="1:65" ht="18" x14ac:dyDescent="0.2">
      <c r="D15" s="58"/>
      <c r="E15" s="74"/>
      <c r="F15" s="74"/>
      <c r="G15" s="74"/>
      <c r="H15" s="59"/>
      <c r="I15" s="389"/>
      <c r="J15" s="390"/>
      <c r="K15" s="60"/>
      <c r="L15" s="60">
        <f t="shared" ref="L15:U15" si="25">L14-L36</f>
        <v>0</v>
      </c>
      <c r="M15" s="60">
        <f t="shared" si="25"/>
        <v>0</v>
      </c>
      <c r="N15" s="60">
        <f t="shared" si="25"/>
        <v>0</v>
      </c>
      <c r="O15" s="61">
        <f t="shared" si="25"/>
        <v>0</v>
      </c>
      <c r="P15" s="60">
        <f t="shared" si="25"/>
        <v>0</v>
      </c>
      <c r="Q15" s="60">
        <f t="shared" si="25"/>
        <v>0</v>
      </c>
      <c r="R15" s="60">
        <f t="shared" si="25"/>
        <v>0</v>
      </c>
      <c r="S15" s="60">
        <f t="shared" si="25"/>
        <v>0</v>
      </c>
      <c r="T15" s="60">
        <f t="shared" si="25"/>
        <v>0</v>
      </c>
      <c r="U15" s="60">
        <f t="shared" si="25"/>
        <v>0</v>
      </c>
      <c r="V15" s="60"/>
      <c r="W15" s="61">
        <f>W14-W36</f>
        <v>0</v>
      </c>
      <c r="X15" s="60" t="e">
        <f>X14-X36</f>
        <v>#REF!</v>
      </c>
      <c r="Y15" s="60"/>
      <c r="Z15" s="60"/>
      <c r="AA15" s="60"/>
      <c r="AB15" s="62">
        <f t="shared" ref="AB15:BH15" si="26">AB14-AB36</f>
        <v>0</v>
      </c>
      <c r="AC15" s="63" t="e">
        <f t="shared" si="26"/>
        <v>#REF!</v>
      </c>
      <c r="AD15" s="63" t="e">
        <f t="shared" si="26"/>
        <v>#REF!</v>
      </c>
      <c r="AE15" s="63" t="e">
        <f t="shared" si="26"/>
        <v>#REF!</v>
      </c>
      <c r="AF15" s="63" t="e">
        <f t="shared" si="26"/>
        <v>#REF!</v>
      </c>
      <c r="AG15" s="63" t="e">
        <f t="shared" si="26"/>
        <v>#REF!</v>
      </c>
      <c r="AH15" s="63" t="e">
        <f t="shared" si="26"/>
        <v>#REF!</v>
      </c>
      <c r="AI15" s="63" t="e">
        <f t="shared" si="26"/>
        <v>#REF!</v>
      </c>
      <c r="AJ15" s="63" t="e">
        <f t="shared" si="26"/>
        <v>#REF!</v>
      </c>
      <c r="AK15" s="63" t="e">
        <f t="shared" si="26"/>
        <v>#REF!</v>
      </c>
      <c r="AL15" s="63" t="e">
        <f t="shared" si="26"/>
        <v>#REF!</v>
      </c>
      <c r="AM15" s="62">
        <f t="shared" si="26"/>
        <v>0</v>
      </c>
      <c r="AN15" s="64" t="e">
        <f t="shared" si="26"/>
        <v>#REF!</v>
      </c>
      <c r="AO15" s="64" t="e">
        <f t="shared" si="26"/>
        <v>#REF!</v>
      </c>
      <c r="AP15" s="64" t="e">
        <f t="shared" si="26"/>
        <v>#REF!</v>
      </c>
      <c r="AQ15" s="64" t="e">
        <f t="shared" si="26"/>
        <v>#REF!</v>
      </c>
      <c r="AR15" s="64" t="e">
        <f>AR14-AR36</f>
        <v>#REF!</v>
      </c>
      <c r="AS15" s="64" t="e">
        <f t="shared" si="26"/>
        <v>#REF!</v>
      </c>
      <c r="AT15" s="64" t="e">
        <f t="shared" si="26"/>
        <v>#REF!</v>
      </c>
      <c r="AU15" s="64" t="e">
        <f t="shared" si="26"/>
        <v>#REF!</v>
      </c>
      <c r="AV15" s="64" t="e">
        <f t="shared" si="26"/>
        <v>#REF!</v>
      </c>
      <c r="AW15" s="64" t="e">
        <f t="shared" si="26"/>
        <v>#REF!</v>
      </c>
      <c r="AX15" s="65">
        <f t="shared" si="26"/>
        <v>0</v>
      </c>
      <c r="AY15" s="65">
        <f t="shared" si="26"/>
        <v>0</v>
      </c>
      <c r="AZ15" s="65">
        <f t="shared" si="26"/>
        <v>0</v>
      </c>
      <c r="BA15" s="65">
        <f t="shared" si="26"/>
        <v>0</v>
      </c>
      <c r="BB15" s="65">
        <f t="shared" si="26"/>
        <v>0</v>
      </c>
      <c r="BC15" s="65">
        <f t="shared" si="26"/>
        <v>0</v>
      </c>
      <c r="BD15" s="65">
        <f t="shared" si="26"/>
        <v>0</v>
      </c>
      <c r="BE15" s="65">
        <f t="shared" si="26"/>
        <v>0</v>
      </c>
      <c r="BF15" s="65">
        <f t="shared" si="26"/>
        <v>0</v>
      </c>
      <c r="BG15" s="65">
        <f t="shared" si="26"/>
        <v>0</v>
      </c>
      <c r="BH15" s="65">
        <f t="shared" si="26"/>
        <v>0</v>
      </c>
      <c r="BJ15" s="66"/>
      <c r="BL15" s="67"/>
      <c r="BM15" s="34"/>
    </row>
    <row r="16" spans="1:65" ht="43.5" customHeight="1" x14ac:dyDescent="0.2">
      <c r="E16" s="74"/>
      <c r="F16" s="74"/>
      <c r="G16" s="74"/>
      <c r="H16" s="77"/>
      <c r="I16" s="391" t="s">
        <v>148</v>
      </c>
      <c r="J16" s="382"/>
      <c r="K16" s="78">
        <v>1635389</v>
      </c>
      <c r="L16" s="78">
        <f t="shared" ref="L16:M16" si="27">L39</f>
        <v>1322482</v>
      </c>
      <c r="M16" s="78">
        <f t="shared" si="27"/>
        <v>886400</v>
      </c>
      <c r="N16" s="78">
        <v>739960.43628896005</v>
      </c>
      <c r="O16" s="78">
        <f>SUM(L16:N16)</f>
        <v>2948842.4362889603</v>
      </c>
      <c r="P16" s="78">
        <v>558000</v>
      </c>
      <c r="Q16" s="78">
        <v>637000</v>
      </c>
      <c r="R16" s="78">
        <v>443000</v>
      </c>
      <c r="S16" s="78">
        <v>483000</v>
      </c>
      <c r="T16" s="78">
        <v>483000</v>
      </c>
      <c r="U16" s="78">
        <v>433000</v>
      </c>
      <c r="V16" s="78">
        <v>433001</v>
      </c>
      <c r="W16" s="78">
        <f>SUM(O16:V16)</f>
        <v>6418843.4362889603</v>
      </c>
      <c r="X16" s="78">
        <f>K16+W16</f>
        <v>8054232.4362889603</v>
      </c>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J16" s="66"/>
      <c r="BL16" s="67"/>
      <c r="BM16" s="34"/>
    </row>
    <row r="17" spans="1:65" s="80" customFormat="1" ht="23.25" customHeight="1" x14ac:dyDescent="0.2">
      <c r="A17" s="79"/>
      <c r="D17" s="81"/>
      <c r="E17" s="82"/>
      <c r="F17" s="82"/>
      <c r="G17" s="82"/>
      <c r="H17" s="83"/>
      <c r="I17" s="84" t="s">
        <v>124</v>
      </c>
      <c r="J17" s="85"/>
      <c r="K17" s="86"/>
      <c r="L17" s="86">
        <f>L14-L16</f>
        <v>175852</v>
      </c>
      <c r="M17" s="86">
        <f t="shared" ref="M17:X17" si="28">M14-M16</f>
        <v>149006</v>
      </c>
      <c r="N17" s="86">
        <f t="shared" si="28"/>
        <v>77516.563711039955</v>
      </c>
      <c r="O17" s="86"/>
      <c r="P17" s="86">
        <f t="shared" si="28"/>
        <v>232422</v>
      </c>
      <c r="Q17" s="86">
        <f t="shared" si="28"/>
        <v>-49800</v>
      </c>
      <c r="R17" s="86">
        <f t="shared" si="28"/>
        <v>35974</v>
      </c>
      <c r="S17" s="86">
        <f t="shared" si="28"/>
        <v>499033</v>
      </c>
      <c r="T17" s="86">
        <f t="shared" si="28"/>
        <v>625750</v>
      </c>
      <c r="U17" s="86">
        <f t="shared" si="28"/>
        <v>555250</v>
      </c>
      <c r="V17" s="86">
        <f t="shared" si="28"/>
        <v>471749</v>
      </c>
      <c r="W17" s="86">
        <f t="shared" si="28"/>
        <v>2772752.5637110397</v>
      </c>
      <c r="X17" s="86" t="e">
        <f t="shared" si="28"/>
        <v>#REF!</v>
      </c>
      <c r="Y17" s="86"/>
      <c r="Z17" s="86"/>
      <c r="AA17" s="86"/>
      <c r="AB17" s="87"/>
      <c r="AC17" s="87"/>
      <c r="AD17" s="87"/>
      <c r="AE17" s="87"/>
      <c r="AF17" s="87"/>
      <c r="AG17" s="87"/>
      <c r="AH17" s="87"/>
      <c r="AI17" s="87"/>
      <c r="AJ17" s="87"/>
      <c r="AK17" s="87"/>
      <c r="AL17" s="87"/>
      <c r="AM17" s="87"/>
      <c r="AN17" s="88"/>
      <c r="AO17" s="88"/>
      <c r="AP17" s="88"/>
      <c r="AQ17" s="88"/>
      <c r="AR17" s="88"/>
      <c r="AS17" s="88"/>
      <c r="AT17" s="88"/>
      <c r="AU17" s="88"/>
      <c r="AV17" s="88"/>
      <c r="AW17" s="88"/>
      <c r="AX17" s="89"/>
      <c r="AY17" s="89"/>
      <c r="AZ17" s="89"/>
      <c r="BA17" s="89"/>
      <c r="BB17" s="89"/>
      <c r="BC17" s="89"/>
      <c r="BD17" s="89"/>
      <c r="BE17" s="89"/>
      <c r="BF17" s="89"/>
      <c r="BG17" s="89"/>
      <c r="BH17" s="89"/>
      <c r="BJ17" s="90"/>
      <c r="BL17" s="91"/>
      <c r="BM17" s="92"/>
    </row>
    <row r="18" spans="1:65" s="4" customFormat="1" ht="23.25" customHeight="1" x14ac:dyDescent="0.2">
      <c r="A18" s="57"/>
      <c r="D18" s="68"/>
      <c r="E18" s="93"/>
      <c r="F18" s="93"/>
      <c r="G18" s="93"/>
      <c r="H18" s="94"/>
      <c r="I18" s="95" t="s">
        <v>149</v>
      </c>
      <c r="J18" s="96"/>
      <c r="K18" s="97">
        <v>2772742.1139999996</v>
      </c>
      <c r="L18" s="97">
        <v>1600117</v>
      </c>
      <c r="M18" s="97">
        <v>1176906</v>
      </c>
      <c r="N18" s="97">
        <v>1007477</v>
      </c>
      <c r="O18" s="97">
        <v>3784500</v>
      </c>
      <c r="P18" s="97">
        <v>1343422</v>
      </c>
      <c r="Q18" s="97">
        <v>1075700</v>
      </c>
      <c r="R18" s="97">
        <v>711474</v>
      </c>
      <c r="S18" s="97">
        <v>555500</v>
      </c>
      <c r="T18" s="97">
        <v>568000</v>
      </c>
      <c r="U18" s="97">
        <v>593000</v>
      </c>
      <c r="V18" s="98">
        <v>150000</v>
      </c>
      <c r="W18" s="97">
        <v>8781596</v>
      </c>
      <c r="X18" s="97">
        <v>11554338.114</v>
      </c>
      <c r="Y18" s="97"/>
      <c r="Z18" s="97"/>
      <c r="AA18" s="97"/>
      <c r="AB18" s="99">
        <v>0</v>
      </c>
      <c r="AC18" s="99">
        <v>84516.461089347358</v>
      </c>
      <c r="AD18" s="99">
        <v>219439.71421102682</v>
      </c>
      <c r="AE18" s="99">
        <v>299105.28234978986</v>
      </c>
      <c r="AF18" s="99">
        <v>319308.45815459505</v>
      </c>
      <c r="AG18" s="99">
        <v>404154.9990795831</v>
      </c>
      <c r="AH18" s="99">
        <v>496436.07594030461</v>
      </c>
      <c r="AI18" s="99">
        <v>552071.21932843339</v>
      </c>
      <c r="AJ18" s="99">
        <v>554198.63535975572</v>
      </c>
      <c r="AK18" s="99">
        <v>562731.92429840274</v>
      </c>
      <c r="AL18" s="99">
        <v>636192.76217028836</v>
      </c>
      <c r="AM18" s="99">
        <v>930</v>
      </c>
      <c r="AN18" s="100">
        <v>41614.066429819279</v>
      </c>
      <c r="AO18" s="100">
        <v>104042.37282692629</v>
      </c>
      <c r="AP18" s="100">
        <v>154756.65117548054</v>
      </c>
      <c r="AQ18" s="100">
        <v>174687.44696227298</v>
      </c>
      <c r="AR18" s="100">
        <v>221633.04059134354</v>
      </c>
      <c r="AS18" s="100">
        <v>263234.9908549221</v>
      </c>
      <c r="AT18" s="100">
        <v>288244.8443319248</v>
      </c>
      <c r="AU18" s="100">
        <v>286032.69599906733</v>
      </c>
      <c r="AV18" s="100">
        <v>284404.52371721854</v>
      </c>
      <c r="AW18" s="100">
        <v>309147.5654198972</v>
      </c>
      <c r="AX18" s="101">
        <v>0</v>
      </c>
      <c r="AY18" s="101">
        <v>0</v>
      </c>
      <c r="AZ18" s="101">
        <v>11748</v>
      </c>
      <c r="BA18" s="101">
        <v>0</v>
      </c>
      <c r="BB18" s="101">
        <v>34217</v>
      </c>
      <c r="BC18" s="101">
        <v>0</v>
      </c>
      <c r="BD18" s="101">
        <v>46942</v>
      </c>
      <c r="BE18" s="101">
        <v>0</v>
      </c>
      <c r="BF18" s="101">
        <v>15000</v>
      </c>
      <c r="BG18" s="101">
        <v>20000</v>
      </c>
      <c r="BH18" s="101">
        <v>20000</v>
      </c>
      <c r="BJ18" s="48"/>
      <c r="BL18" s="102"/>
      <c r="BM18" s="103"/>
    </row>
    <row r="19" spans="1:65" s="41" customFormat="1" ht="18" x14ac:dyDescent="0.2">
      <c r="A19" s="104"/>
      <c r="C19"/>
      <c r="D19" s="58"/>
      <c r="E19" s="74"/>
      <c r="F19" s="74"/>
      <c r="G19" s="93"/>
      <c r="H19" s="105"/>
      <c r="I19" s="106"/>
      <c r="J19" s="107"/>
      <c r="K19" s="108"/>
      <c r="L19" s="108"/>
      <c r="M19" s="108"/>
      <c r="N19" s="108"/>
      <c r="O19" s="98"/>
      <c r="P19" s="108"/>
      <c r="Q19" s="108"/>
      <c r="R19" s="108"/>
      <c r="S19" s="108"/>
      <c r="T19" s="108"/>
      <c r="U19" s="108"/>
      <c r="V19" s="108"/>
      <c r="W19" s="9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9"/>
      <c r="BJ19" s="110"/>
      <c r="BL19" s="111"/>
      <c r="BM19" s="112"/>
    </row>
    <row r="20" spans="1:65" s="67" customFormat="1" ht="93.75" customHeight="1" x14ac:dyDescent="0.2">
      <c r="A20" s="113"/>
      <c r="B20" s="102"/>
      <c r="C20"/>
      <c r="D20" s="76"/>
      <c r="E20" s="74"/>
      <c r="F20" s="74"/>
      <c r="G20" s="74"/>
      <c r="H20" s="93"/>
      <c r="I20" s="114" t="s">
        <v>150</v>
      </c>
      <c r="J20" s="115" t="s">
        <v>151</v>
      </c>
      <c r="K20" s="51" t="s">
        <v>6</v>
      </c>
      <c r="L20" s="51" t="s">
        <v>7</v>
      </c>
      <c r="M20" s="51" t="s">
        <v>8</v>
      </c>
      <c r="N20" s="51" t="s">
        <v>9</v>
      </c>
      <c r="O20" s="51" t="s">
        <v>10</v>
      </c>
      <c r="P20" s="51" t="s">
        <v>11</v>
      </c>
      <c r="Q20" s="51" t="s">
        <v>12</v>
      </c>
      <c r="R20" s="51" t="s">
        <v>13</v>
      </c>
      <c r="S20" s="51" t="s">
        <v>14</v>
      </c>
      <c r="T20" s="51" t="s">
        <v>15</v>
      </c>
      <c r="U20" s="51" t="s">
        <v>16</v>
      </c>
      <c r="V20" s="51" t="s">
        <v>17</v>
      </c>
      <c r="W20" s="51" t="s">
        <v>132</v>
      </c>
      <c r="X20" s="51" t="s">
        <v>133</v>
      </c>
      <c r="Y20" s="51" t="s">
        <v>5</v>
      </c>
      <c r="Z20" s="52" t="s">
        <v>134</v>
      </c>
      <c r="AA20" s="51" t="s">
        <v>135</v>
      </c>
      <c r="AB20" s="116" t="s">
        <v>136</v>
      </c>
      <c r="AC20" s="117" t="s">
        <v>78</v>
      </c>
      <c r="AD20" s="117" t="s">
        <v>79</v>
      </c>
      <c r="AE20" s="117" t="s">
        <v>80</v>
      </c>
      <c r="AF20" s="117" t="s">
        <v>81</v>
      </c>
      <c r="AG20" s="117" t="s">
        <v>82</v>
      </c>
      <c r="AH20" s="117" t="s">
        <v>83</v>
      </c>
      <c r="AI20" s="117" t="s">
        <v>84</v>
      </c>
      <c r="AJ20" s="117" t="s">
        <v>85</v>
      </c>
      <c r="AK20" s="117" t="s">
        <v>86</v>
      </c>
      <c r="AL20" s="117" t="s">
        <v>87</v>
      </c>
      <c r="AM20" s="116" t="s">
        <v>88</v>
      </c>
      <c r="AN20" s="116" t="s">
        <v>89</v>
      </c>
      <c r="AO20" s="116" t="s">
        <v>90</v>
      </c>
      <c r="AP20" s="116" t="s">
        <v>91</v>
      </c>
      <c r="AQ20" s="116" t="s">
        <v>92</v>
      </c>
      <c r="AR20" s="116" t="s">
        <v>93</v>
      </c>
      <c r="AS20" s="116" t="s">
        <v>94</v>
      </c>
      <c r="AT20" s="116" t="s">
        <v>95</v>
      </c>
      <c r="AU20" s="116" t="s">
        <v>96</v>
      </c>
      <c r="AV20" s="116" t="s">
        <v>97</v>
      </c>
      <c r="AW20" s="116" t="s">
        <v>98</v>
      </c>
      <c r="AX20" s="118" t="s">
        <v>137</v>
      </c>
      <c r="AY20" s="118" t="s">
        <v>138</v>
      </c>
      <c r="AZ20" s="118" t="s">
        <v>139</v>
      </c>
      <c r="BA20" s="118" t="s">
        <v>140</v>
      </c>
      <c r="BB20" s="118" t="s">
        <v>141</v>
      </c>
      <c r="BC20" s="118" t="s">
        <v>142</v>
      </c>
      <c r="BD20" s="118" t="s">
        <v>143</v>
      </c>
      <c r="BE20" s="118" t="s">
        <v>144</v>
      </c>
      <c r="BF20" s="118" t="s">
        <v>145</v>
      </c>
      <c r="BG20" s="118" t="s">
        <v>146</v>
      </c>
      <c r="BH20" s="118" t="s">
        <v>147</v>
      </c>
      <c r="BI20" s="3"/>
      <c r="BJ20" s="3"/>
    </row>
    <row r="21" spans="1:65" ht="18" x14ac:dyDescent="0.2">
      <c r="D21" s="58"/>
      <c r="E21" s="119"/>
      <c r="F21" s="119"/>
      <c r="G21" s="119"/>
      <c r="H21" s="59"/>
      <c r="I21" s="389" t="s">
        <v>152</v>
      </c>
      <c r="J21" s="390"/>
      <c r="K21" s="60">
        <f>K59+K61+K62+K63+K64+K65+K66+K67+K68+K69+K70+K71+K72+K92+K93+K94+K95+K96+K97+K98+K99+K100+K105+K106+K107+K108+K109+K110+K117+K127+K128+K129+K130+K131+K132+K133+K135+K136</f>
        <v>17217</v>
      </c>
      <c r="L21" s="60">
        <f t="shared" ref="L21:BH21" si="29">L59+L61+L62+L63+L64+L65+L66+L67+L68+L69+L70+L71+L72+L92+L93+L94+L95+L96+L97+L98+L99+L100+L105+L106+L107+L108+L109+L110+L117+L127+L128+L129+L130+L131+L132+L133+L135+L136</f>
        <v>161000</v>
      </c>
      <c r="M21" s="60">
        <f t="shared" si="29"/>
        <v>152500</v>
      </c>
      <c r="N21" s="60">
        <f t="shared" si="29"/>
        <v>165000</v>
      </c>
      <c r="O21" s="60">
        <f t="shared" si="29"/>
        <v>478500</v>
      </c>
      <c r="P21" s="60">
        <f t="shared" si="29"/>
        <v>175000</v>
      </c>
      <c r="Q21" s="60">
        <f t="shared" si="29"/>
        <v>150500</v>
      </c>
      <c r="R21" s="60">
        <f t="shared" si="29"/>
        <v>200000</v>
      </c>
      <c r="S21" s="60">
        <f t="shared" si="29"/>
        <v>271783</v>
      </c>
      <c r="T21" s="60">
        <f t="shared" si="29"/>
        <v>340000</v>
      </c>
      <c r="U21" s="60">
        <f t="shared" si="29"/>
        <v>399500</v>
      </c>
      <c r="V21" s="60">
        <f t="shared" si="29"/>
        <v>277000</v>
      </c>
      <c r="W21" s="60">
        <f t="shared" si="29"/>
        <v>2292283</v>
      </c>
      <c r="X21" s="60">
        <f t="shared" si="29"/>
        <v>2309500</v>
      </c>
      <c r="Y21" s="60"/>
      <c r="Z21" s="60"/>
      <c r="AA21" s="60"/>
      <c r="AB21" s="60">
        <f t="shared" si="29"/>
        <v>0</v>
      </c>
      <c r="AC21" s="60" t="e">
        <f t="shared" si="29"/>
        <v>#REF!</v>
      </c>
      <c r="AD21" s="60" t="e">
        <f t="shared" si="29"/>
        <v>#REF!</v>
      </c>
      <c r="AE21" s="60" t="e">
        <f t="shared" si="29"/>
        <v>#REF!</v>
      </c>
      <c r="AF21" s="60" t="e">
        <f t="shared" si="29"/>
        <v>#REF!</v>
      </c>
      <c r="AG21" s="60" t="e">
        <f t="shared" si="29"/>
        <v>#REF!</v>
      </c>
      <c r="AH21" s="60" t="e">
        <f t="shared" si="29"/>
        <v>#REF!</v>
      </c>
      <c r="AI21" s="60" t="e">
        <f t="shared" si="29"/>
        <v>#REF!</v>
      </c>
      <c r="AJ21" s="60" t="e">
        <f t="shared" si="29"/>
        <v>#REF!</v>
      </c>
      <c r="AK21" s="60" t="e">
        <f t="shared" si="29"/>
        <v>#REF!</v>
      </c>
      <c r="AL21" s="60" t="e">
        <f t="shared" si="29"/>
        <v>#REF!</v>
      </c>
      <c r="AM21" s="60">
        <f t="shared" si="29"/>
        <v>0</v>
      </c>
      <c r="AN21" s="60" t="e">
        <f t="shared" si="29"/>
        <v>#REF!</v>
      </c>
      <c r="AO21" s="60" t="e">
        <f t="shared" si="29"/>
        <v>#REF!</v>
      </c>
      <c r="AP21" s="60" t="e">
        <f t="shared" si="29"/>
        <v>#REF!</v>
      </c>
      <c r="AQ21" s="60" t="e">
        <f t="shared" si="29"/>
        <v>#REF!</v>
      </c>
      <c r="AR21" s="60" t="e">
        <f t="shared" si="29"/>
        <v>#REF!</v>
      </c>
      <c r="AS21" s="60" t="e">
        <f t="shared" si="29"/>
        <v>#REF!</v>
      </c>
      <c r="AT21" s="60" t="e">
        <f t="shared" si="29"/>
        <v>#REF!</v>
      </c>
      <c r="AU21" s="60" t="e">
        <f t="shared" si="29"/>
        <v>#REF!</v>
      </c>
      <c r="AV21" s="60" t="e">
        <f t="shared" si="29"/>
        <v>#REF!</v>
      </c>
      <c r="AW21" s="60" t="e">
        <f t="shared" si="29"/>
        <v>#REF!</v>
      </c>
      <c r="AX21" s="60">
        <f t="shared" si="29"/>
        <v>0</v>
      </c>
      <c r="AY21" s="60">
        <f t="shared" si="29"/>
        <v>0</v>
      </c>
      <c r="AZ21" s="60">
        <f t="shared" si="29"/>
        <v>0</v>
      </c>
      <c r="BA21" s="60">
        <f t="shared" si="29"/>
        <v>0</v>
      </c>
      <c r="BB21" s="60">
        <f t="shared" si="29"/>
        <v>0</v>
      </c>
      <c r="BC21" s="60">
        <f t="shared" si="29"/>
        <v>0</v>
      </c>
      <c r="BD21" s="60">
        <f t="shared" si="29"/>
        <v>0</v>
      </c>
      <c r="BE21" s="60">
        <f t="shared" si="29"/>
        <v>0</v>
      </c>
      <c r="BF21" s="60">
        <f t="shared" si="29"/>
        <v>0</v>
      </c>
      <c r="BG21" s="60">
        <f t="shared" si="29"/>
        <v>0</v>
      </c>
      <c r="BH21" s="60">
        <f t="shared" si="29"/>
        <v>25000</v>
      </c>
      <c r="BJ21" s="66"/>
      <c r="BL21" s="67"/>
      <c r="BM21" s="34"/>
    </row>
    <row r="22" spans="1:65" ht="18" x14ac:dyDescent="0.2">
      <c r="D22" s="120"/>
      <c r="E22" s="121"/>
      <c r="F22" s="121"/>
      <c r="G22" s="121"/>
      <c r="H22" s="59"/>
      <c r="I22" s="74"/>
      <c r="J22" s="122"/>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J22" s="66"/>
      <c r="BL22" s="67"/>
      <c r="BM22" s="103"/>
    </row>
    <row r="23" spans="1:65" ht="18" x14ac:dyDescent="0.2">
      <c r="D23" s="58"/>
      <c r="E23" s="119"/>
      <c r="F23" s="119"/>
      <c r="G23" s="119"/>
      <c r="H23" s="59"/>
      <c r="I23" s="389" t="s">
        <v>153</v>
      </c>
      <c r="J23" s="390"/>
      <c r="K23" s="60">
        <f t="shared" ref="K23:BH23" si="30">K73+K74+K75++K76+K77+K134</f>
        <v>38000</v>
      </c>
      <c r="L23" s="60">
        <f t="shared" si="30"/>
        <v>58000</v>
      </c>
      <c r="M23" s="60">
        <f t="shared" si="30"/>
        <v>25000</v>
      </c>
      <c r="N23" s="60">
        <f t="shared" si="30"/>
        <v>0</v>
      </c>
      <c r="O23" s="60">
        <f t="shared" si="30"/>
        <v>83000</v>
      </c>
      <c r="P23" s="60">
        <f t="shared" si="30"/>
        <v>0</v>
      </c>
      <c r="Q23" s="60">
        <f t="shared" si="30"/>
        <v>0</v>
      </c>
      <c r="R23" s="60">
        <f t="shared" si="30"/>
        <v>0</v>
      </c>
      <c r="S23" s="60">
        <f t="shared" si="30"/>
        <v>483750</v>
      </c>
      <c r="T23" s="60">
        <f t="shared" si="30"/>
        <v>547750</v>
      </c>
      <c r="U23" s="60">
        <f t="shared" si="30"/>
        <v>438750</v>
      </c>
      <c r="V23" s="60">
        <f t="shared" si="30"/>
        <v>477750</v>
      </c>
      <c r="W23" s="60">
        <f t="shared" si="30"/>
        <v>2031000</v>
      </c>
      <c r="X23" s="60">
        <f t="shared" si="30"/>
        <v>2069000</v>
      </c>
      <c r="Y23" s="60"/>
      <c r="Z23" s="60"/>
      <c r="AA23" s="60"/>
      <c r="AB23" s="60">
        <f t="shared" si="30"/>
        <v>0</v>
      </c>
      <c r="AC23" s="60">
        <f t="shared" si="30"/>
        <v>0</v>
      </c>
      <c r="AD23" s="60" t="e">
        <f t="shared" si="30"/>
        <v>#REF!</v>
      </c>
      <c r="AE23" s="60" t="e">
        <f t="shared" si="30"/>
        <v>#REF!</v>
      </c>
      <c r="AF23" s="60" t="e">
        <f t="shared" si="30"/>
        <v>#REF!</v>
      </c>
      <c r="AG23" s="60" t="e">
        <f t="shared" si="30"/>
        <v>#REF!</v>
      </c>
      <c r="AH23" s="60" t="e">
        <f t="shared" si="30"/>
        <v>#REF!</v>
      </c>
      <c r="AI23" s="60" t="e">
        <f t="shared" si="30"/>
        <v>#REF!</v>
      </c>
      <c r="AJ23" s="60" t="e">
        <f t="shared" si="30"/>
        <v>#REF!</v>
      </c>
      <c r="AK23" s="60" t="e">
        <f t="shared" si="30"/>
        <v>#REF!</v>
      </c>
      <c r="AL23" s="60" t="e">
        <f t="shared" si="30"/>
        <v>#REF!</v>
      </c>
      <c r="AM23" s="60">
        <f t="shared" si="30"/>
        <v>0</v>
      </c>
      <c r="AN23" s="60">
        <f t="shared" si="30"/>
        <v>0</v>
      </c>
      <c r="AO23" s="60" t="e">
        <f t="shared" si="30"/>
        <v>#REF!</v>
      </c>
      <c r="AP23" s="60" t="e">
        <f t="shared" si="30"/>
        <v>#REF!</v>
      </c>
      <c r="AQ23" s="60" t="e">
        <f t="shared" si="30"/>
        <v>#REF!</v>
      </c>
      <c r="AR23" s="60" t="e">
        <f t="shared" si="30"/>
        <v>#REF!</v>
      </c>
      <c r="AS23" s="60" t="e">
        <f t="shared" si="30"/>
        <v>#REF!</v>
      </c>
      <c r="AT23" s="60" t="e">
        <f t="shared" si="30"/>
        <v>#REF!</v>
      </c>
      <c r="AU23" s="60" t="e">
        <f t="shared" si="30"/>
        <v>#REF!</v>
      </c>
      <c r="AV23" s="60" t="e">
        <f t="shared" si="30"/>
        <v>#REF!</v>
      </c>
      <c r="AW23" s="60" t="e">
        <f t="shared" si="30"/>
        <v>#REF!</v>
      </c>
      <c r="AX23" s="60">
        <f t="shared" si="30"/>
        <v>0</v>
      </c>
      <c r="AY23" s="60">
        <f t="shared" si="30"/>
        <v>0</v>
      </c>
      <c r="AZ23" s="60">
        <f t="shared" si="30"/>
        <v>0</v>
      </c>
      <c r="BA23" s="60">
        <f t="shared" si="30"/>
        <v>0</v>
      </c>
      <c r="BB23" s="60">
        <f t="shared" si="30"/>
        <v>0</v>
      </c>
      <c r="BC23" s="60">
        <f t="shared" si="30"/>
        <v>0</v>
      </c>
      <c r="BD23" s="60">
        <f t="shared" si="30"/>
        <v>0</v>
      </c>
      <c r="BE23" s="60">
        <f t="shared" si="30"/>
        <v>0</v>
      </c>
      <c r="BF23" s="60">
        <f t="shared" si="30"/>
        <v>0</v>
      </c>
      <c r="BG23" s="60">
        <f t="shared" si="30"/>
        <v>0</v>
      </c>
      <c r="BH23" s="60">
        <f t="shared" si="30"/>
        <v>0</v>
      </c>
      <c r="BJ23" s="66"/>
      <c r="BL23" s="67"/>
      <c r="BM23" s="34"/>
    </row>
    <row r="24" spans="1:65" ht="18" x14ac:dyDescent="0.2">
      <c r="D24" s="120"/>
      <c r="E24" s="121"/>
      <c r="F24" s="121"/>
      <c r="G24" s="121"/>
      <c r="H24" s="59"/>
      <c r="I24" s="74"/>
      <c r="J24" s="122"/>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J24" s="66"/>
      <c r="BL24" s="67"/>
      <c r="BM24" s="103"/>
    </row>
    <row r="25" spans="1:65" ht="18" x14ac:dyDescent="0.2">
      <c r="D25" s="58"/>
      <c r="E25" s="119"/>
      <c r="F25" s="119"/>
      <c r="G25" s="119"/>
      <c r="H25" s="59"/>
      <c r="I25" s="389" t="s">
        <v>154</v>
      </c>
      <c r="J25" s="390"/>
      <c r="K25" s="60" t="e">
        <f>K78+K79+K80+K81+K82+K83+K84+K85+K86</f>
        <v>#REF!</v>
      </c>
      <c r="L25" s="60">
        <f t="shared" ref="L25:BH25" si="31">L78+L79+L80+L81+L82+L83+L84+L85+L86</f>
        <v>192025</v>
      </c>
      <c r="M25" s="60">
        <f t="shared" si="31"/>
        <v>158800</v>
      </c>
      <c r="N25" s="60">
        <f t="shared" si="31"/>
        <v>307600</v>
      </c>
      <c r="O25" s="60">
        <f t="shared" si="31"/>
        <v>658425</v>
      </c>
      <c r="P25" s="60">
        <f t="shared" si="31"/>
        <v>388800</v>
      </c>
      <c r="Q25" s="60">
        <f t="shared" si="31"/>
        <v>276700</v>
      </c>
      <c r="R25" s="60">
        <f t="shared" si="31"/>
        <v>115974</v>
      </c>
      <c r="S25" s="60">
        <f t="shared" si="31"/>
        <v>42500</v>
      </c>
      <c r="T25" s="60">
        <f t="shared" si="31"/>
        <v>37000</v>
      </c>
      <c r="U25" s="60">
        <f t="shared" si="31"/>
        <v>0</v>
      </c>
      <c r="V25" s="60">
        <f t="shared" si="31"/>
        <v>0</v>
      </c>
      <c r="W25" s="60">
        <f t="shared" si="31"/>
        <v>1519399</v>
      </c>
      <c r="X25" s="60" t="e">
        <f t="shared" si="31"/>
        <v>#REF!</v>
      </c>
      <c r="Y25" s="60"/>
      <c r="Z25" s="60"/>
      <c r="AA25" s="60"/>
      <c r="AB25" s="60">
        <f t="shared" si="31"/>
        <v>0</v>
      </c>
      <c r="AC25" s="60" t="e">
        <f t="shared" si="31"/>
        <v>#REF!</v>
      </c>
      <c r="AD25" s="60" t="e">
        <f t="shared" si="31"/>
        <v>#REF!</v>
      </c>
      <c r="AE25" s="60" t="e">
        <f t="shared" si="31"/>
        <v>#REF!</v>
      </c>
      <c r="AF25" s="60" t="e">
        <f t="shared" si="31"/>
        <v>#REF!</v>
      </c>
      <c r="AG25" s="60" t="e">
        <f t="shared" si="31"/>
        <v>#REF!</v>
      </c>
      <c r="AH25" s="60" t="e">
        <f t="shared" si="31"/>
        <v>#REF!</v>
      </c>
      <c r="AI25" s="60" t="e">
        <f t="shared" si="31"/>
        <v>#REF!</v>
      </c>
      <c r="AJ25" s="60" t="e">
        <f t="shared" si="31"/>
        <v>#REF!</v>
      </c>
      <c r="AK25" s="60" t="e">
        <f t="shared" si="31"/>
        <v>#REF!</v>
      </c>
      <c r="AL25" s="60" t="e">
        <f t="shared" si="31"/>
        <v>#REF!</v>
      </c>
      <c r="AM25" s="60">
        <f t="shared" si="31"/>
        <v>0</v>
      </c>
      <c r="AN25" s="60" t="e">
        <f t="shared" si="31"/>
        <v>#REF!</v>
      </c>
      <c r="AO25" s="60" t="e">
        <f t="shared" si="31"/>
        <v>#REF!</v>
      </c>
      <c r="AP25" s="60" t="e">
        <f t="shared" si="31"/>
        <v>#REF!</v>
      </c>
      <c r="AQ25" s="60" t="e">
        <f t="shared" si="31"/>
        <v>#REF!</v>
      </c>
      <c r="AR25" s="60" t="e">
        <f t="shared" si="31"/>
        <v>#REF!</v>
      </c>
      <c r="AS25" s="60" t="e">
        <f t="shared" si="31"/>
        <v>#REF!</v>
      </c>
      <c r="AT25" s="60" t="e">
        <f t="shared" si="31"/>
        <v>#REF!</v>
      </c>
      <c r="AU25" s="60" t="e">
        <f t="shared" si="31"/>
        <v>#REF!</v>
      </c>
      <c r="AV25" s="60" t="e">
        <f t="shared" si="31"/>
        <v>#REF!</v>
      </c>
      <c r="AW25" s="60" t="e">
        <f t="shared" si="31"/>
        <v>#REF!</v>
      </c>
      <c r="AX25" s="60">
        <f t="shared" si="31"/>
        <v>0</v>
      </c>
      <c r="AY25" s="60">
        <f t="shared" si="31"/>
        <v>0</v>
      </c>
      <c r="AZ25" s="60">
        <f t="shared" si="31"/>
        <v>0</v>
      </c>
      <c r="BA25" s="60">
        <f t="shared" si="31"/>
        <v>0</v>
      </c>
      <c r="BB25" s="60">
        <f t="shared" si="31"/>
        <v>20128</v>
      </c>
      <c r="BC25" s="60">
        <f t="shared" si="31"/>
        <v>0</v>
      </c>
      <c r="BD25" s="60">
        <f t="shared" si="31"/>
        <v>46942</v>
      </c>
      <c r="BE25" s="60">
        <f t="shared" si="31"/>
        <v>0</v>
      </c>
      <c r="BF25" s="60">
        <f t="shared" si="31"/>
        <v>0</v>
      </c>
      <c r="BG25" s="60">
        <f t="shared" si="31"/>
        <v>0</v>
      </c>
      <c r="BH25" s="60">
        <f t="shared" si="31"/>
        <v>0</v>
      </c>
      <c r="BJ25" s="66"/>
      <c r="BL25" s="67"/>
      <c r="BM25" s="34"/>
    </row>
    <row r="26" spans="1:65" ht="18" x14ac:dyDescent="0.2">
      <c r="D26" s="120"/>
      <c r="E26" s="121"/>
      <c r="F26" s="121"/>
      <c r="G26" s="121"/>
      <c r="H26" s="59"/>
      <c r="I26" s="74"/>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J26" s="66"/>
      <c r="BL26" s="67"/>
      <c r="BM26" s="103"/>
    </row>
    <row r="27" spans="1:65" ht="18" x14ac:dyDescent="0.2">
      <c r="D27" s="58"/>
      <c r="E27" s="119"/>
      <c r="F27" s="119"/>
      <c r="G27" s="119"/>
      <c r="H27" s="59"/>
      <c r="I27" s="389" t="s">
        <v>155</v>
      </c>
      <c r="J27" s="390"/>
      <c r="K27" s="60" t="e">
        <f>K87+K88+K111+K137</f>
        <v>#REF!</v>
      </c>
      <c r="L27" s="60">
        <f t="shared" ref="L27:BH27" si="32">L87+L88+L111+L137</f>
        <v>842809</v>
      </c>
      <c r="M27" s="60">
        <f t="shared" si="32"/>
        <v>515106</v>
      </c>
      <c r="N27" s="60">
        <f t="shared" si="32"/>
        <v>195177</v>
      </c>
      <c r="O27" s="60">
        <f t="shared" si="32"/>
        <v>1553092</v>
      </c>
      <c r="P27" s="60">
        <f t="shared" si="32"/>
        <v>78622</v>
      </c>
      <c r="Q27" s="60">
        <f t="shared" si="32"/>
        <v>0</v>
      </c>
      <c r="R27" s="60">
        <f t="shared" si="32"/>
        <v>0</v>
      </c>
      <c r="S27" s="60">
        <f t="shared" si="32"/>
        <v>0</v>
      </c>
      <c r="T27" s="60">
        <f t="shared" si="32"/>
        <v>0</v>
      </c>
      <c r="U27" s="60">
        <f t="shared" si="32"/>
        <v>0</v>
      </c>
      <c r="V27" s="60">
        <f t="shared" si="32"/>
        <v>0</v>
      </c>
      <c r="W27" s="60">
        <f t="shared" si="32"/>
        <v>1631714</v>
      </c>
      <c r="X27" s="60" t="e">
        <f t="shared" si="32"/>
        <v>#REF!</v>
      </c>
      <c r="Y27" s="60"/>
      <c r="Z27" s="60"/>
      <c r="AA27" s="60"/>
      <c r="AB27" s="60">
        <f t="shared" si="32"/>
        <v>0</v>
      </c>
      <c r="AC27" s="60" t="e">
        <f t="shared" si="32"/>
        <v>#REF!</v>
      </c>
      <c r="AD27" s="60" t="e">
        <f t="shared" si="32"/>
        <v>#REF!</v>
      </c>
      <c r="AE27" s="60" t="e">
        <f t="shared" si="32"/>
        <v>#REF!</v>
      </c>
      <c r="AF27" s="60" t="e">
        <f t="shared" si="32"/>
        <v>#REF!</v>
      </c>
      <c r="AG27" s="60" t="e">
        <f t="shared" si="32"/>
        <v>#REF!</v>
      </c>
      <c r="AH27" s="60" t="e">
        <f t="shared" si="32"/>
        <v>#REF!</v>
      </c>
      <c r="AI27" s="60" t="e">
        <f t="shared" si="32"/>
        <v>#REF!</v>
      </c>
      <c r="AJ27" s="60" t="e">
        <f t="shared" si="32"/>
        <v>#REF!</v>
      </c>
      <c r="AK27" s="60" t="e">
        <f t="shared" si="32"/>
        <v>#REF!</v>
      </c>
      <c r="AL27" s="60" t="e">
        <f t="shared" si="32"/>
        <v>#REF!</v>
      </c>
      <c r="AM27" s="60">
        <f t="shared" si="32"/>
        <v>0</v>
      </c>
      <c r="AN27" s="60" t="e">
        <f t="shared" si="32"/>
        <v>#REF!</v>
      </c>
      <c r="AO27" s="60" t="e">
        <f t="shared" si="32"/>
        <v>#REF!</v>
      </c>
      <c r="AP27" s="60" t="e">
        <f t="shared" si="32"/>
        <v>#REF!</v>
      </c>
      <c r="AQ27" s="60" t="e">
        <f t="shared" si="32"/>
        <v>#REF!</v>
      </c>
      <c r="AR27" s="60" t="e">
        <f t="shared" si="32"/>
        <v>#REF!</v>
      </c>
      <c r="AS27" s="60" t="e">
        <f t="shared" si="32"/>
        <v>#REF!</v>
      </c>
      <c r="AT27" s="60" t="e">
        <f t="shared" si="32"/>
        <v>#REF!</v>
      </c>
      <c r="AU27" s="60" t="e">
        <f t="shared" si="32"/>
        <v>#REF!</v>
      </c>
      <c r="AV27" s="60" t="e">
        <f t="shared" si="32"/>
        <v>#REF!</v>
      </c>
      <c r="AW27" s="60" t="e">
        <f t="shared" si="32"/>
        <v>#REF!</v>
      </c>
      <c r="AX27" s="60">
        <f t="shared" si="32"/>
        <v>0</v>
      </c>
      <c r="AY27" s="60">
        <f t="shared" si="32"/>
        <v>0</v>
      </c>
      <c r="AZ27" s="60">
        <f t="shared" si="32"/>
        <v>11748</v>
      </c>
      <c r="BA27" s="60">
        <f t="shared" si="32"/>
        <v>0</v>
      </c>
      <c r="BB27" s="60">
        <f t="shared" si="32"/>
        <v>9089</v>
      </c>
      <c r="BC27" s="60">
        <f t="shared" si="32"/>
        <v>0</v>
      </c>
      <c r="BD27" s="60">
        <f t="shared" si="32"/>
        <v>0</v>
      </c>
      <c r="BE27" s="60">
        <f t="shared" si="32"/>
        <v>0</v>
      </c>
      <c r="BF27" s="60">
        <f t="shared" si="32"/>
        <v>0</v>
      </c>
      <c r="BG27" s="60">
        <f t="shared" si="32"/>
        <v>0</v>
      </c>
      <c r="BH27" s="60">
        <f t="shared" si="32"/>
        <v>0</v>
      </c>
      <c r="BJ27" s="66"/>
      <c r="BL27" s="67"/>
      <c r="BM27" s="34"/>
    </row>
    <row r="28" spans="1:65" s="4" customFormat="1" ht="16" x14ac:dyDescent="0.2">
      <c r="A28" s="57"/>
      <c r="D28" s="68"/>
      <c r="H28" s="69"/>
      <c r="I28" s="70" t="s">
        <v>156</v>
      </c>
      <c r="J28" s="71"/>
      <c r="K28" s="72" t="e">
        <f t="shared" ref="K28:X28" si="33">K21+K23+K25+K27</f>
        <v>#REF!</v>
      </c>
      <c r="L28" s="73">
        <f t="shared" si="33"/>
        <v>1253834</v>
      </c>
      <c r="M28" s="73">
        <f t="shared" si="33"/>
        <v>851406</v>
      </c>
      <c r="N28" s="73">
        <f t="shared" si="33"/>
        <v>667777</v>
      </c>
      <c r="O28" s="73">
        <f t="shared" si="33"/>
        <v>2773017</v>
      </c>
      <c r="P28" s="73">
        <f t="shared" si="33"/>
        <v>642422</v>
      </c>
      <c r="Q28" s="73">
        <f t="shared" si="33"/>
        <v>427200</v>
      </c>
      <c r="R28" s="73">
        <f t="shared" si="33"/>
        <v>315974</v>
      </c>
      <c r="S28" s="73">
        <f t="shared" si="33"/>
        <v>798033</v>
      </c>
      <c r="T28" s="73">
        <f t="shared" si="33"/>
        <v>924750</v>
      </c>
      <c r="U28" s="73">
        <f t="shared" si="33"/>
        <v>838250</v>
      </c>
      <c r="V28" s="73">
        <f t="shared" si="33"/>
        <v>754750</v>
      </c>
      <c r="W28" s="73">
        <f t="shared" si="33"/>
        <v>7474396</v>
      </c>
      <c r="X28" s="73" t="e">
        <f t="shared" si="33"/>
        <v>#REF!</v>
      </c>
      <c r="Y28" s="73"/>
      <c r="Z28" s="73"/>
      <c r="AA28" s="73"/>
      <c r="AB28" s="73">
        <f t="shared" ref="AB28:BH28" si="34">AB21+AB23+AB25+AB27</f>
        <v>0</v>
      </c>
      <c r="AC28" s="73" t="e">
        <f t="shared" si="34"/>
        <v>#REF!</v>
      </c>
      <c r="AD28" s="73" t="e">
        <f t="shared" si="34"/>
        <v>#REF!</v>
      </c>
      <c r="AE28" s="73" t="e">
        <f t="shared" si="34"/>
        <v>#REF!</v>
      </c>
      <c r="AF28" s="73" t="e">
        <f t="shared" si="34"/>
        <v>#REF!</v>
      </c>
      <c r="AG28" s="73" t="e">
        <f t="shared" si="34"/>
        <v>#REF!</v>
      </c>
      <c r="AH28" s="73" t="e">
        <f t="shared" si="34"/>
        <v>#REF!</v>
      </c>
      <c r="AI28" s="73" t="e">
        <f t="shared" si="34"/>
        <v>#REF!</v>
      </c>
      <c r="AJ28" s="73" t="e">
        <f t="shared" si="34"/>
        <v>#REF!</v>
      </c>
      <c r="AK28" s="73" t="e">
        <f t="shared" si="34"/>
        <v>#REF!</v>
      </c>
      <c r="AL28" s="73" t="e">
        <f t="shared" si="34"/>
        <v>#REF!</v>
      </c>
      <c r="AM28" s="73">
        <f t="shared" si="34"/>
        <v>0</v>
      </c>
      <c r="AN28" s="73" t="e">
        <f t="shared" si="34"/>
        <v>#REF!</v>
      </c>
      <c r="AO28" s="73" t="e">
        <f t="shared" si="34"/>
        <v>#REF!</v>
      </c>
      <c r="AP28" s="73" t="e">
        <f t="shared" si="34"/>
        <v>#REF!</v>
      </c>
      <c r="AQ28" s="73" t="e">
        <f t="shared" si="34"/>
        <v>#REF!</v>
      </c>
      <c r="AR28" s="73" t="e">
        <f t="shared" si="34"/>
        <v>#REF!</v>
      </c>
      <c r="AS28" s="73" t="e">
        <f t="shared" si="34"/>
        <v>#REF!</v>
      </c>
      <c r="AT28" s="73" t="e">
        <f t="shared" si="34"/>
        <v>#REF!</v>
      </c>
      <c r="AU28" s="73" t="e">
        <f t="shared" si="34"/>
        <v>#REF!</v>
      </c>
      <c r="AV28" s="73" t="e">
        <f t="shared" si="34"/>
        <v>#REF!</v>
      </c>
      <c r="AW28" s="73" t="e">
        <f t="shared" si="34"/>
        <v>#REF!</v>
      </c>
      <c r="AX28" s="73">
        <f t="shared" si="34"/>
        <v>0</v>
      </c>
      <c r="AY28" s="73">
        <f t="shared" si="34"/>
        <v>0</v>
      </c>
      <c r="AZ28" s="73">
        <f t="shared" si="34"/>
        <v>11748</v>
      </c>
      <c r="BA28" s="73">
        <f t="shared" si="34"/>
        <v>0</v>
      </c>
      <c r="BB28" s="73">
        <f t="shared" si="34"/>
        <v>29217</v>
      </c>
      <c r="BC28" s="73">
        <f t="shared" si="34"/>
        <v>0</v>
      </c>
      <c r="BD28" s="73">
        <f t="shared" si="34"/>
        <v>46942</v>
      </c>
      <c r="BE28" s="73">
        <f t="shared" si="34"/>
        <v>0</v>
      </c>
      <c r="BF28" s="73">
        <f t="shared" si="34"/>
        <v>0</v>
      </c>
      <c r="BG28" s="73">
        <f t="shared" si="34"/>
        <v>0</v>
      </c>
      <c r="BH28" s="73">
        <f t="shared" si="34"/>
        <v>25000</v>
      </c>
      <c r="BJ28" s="66"/>
      <c r="BL28" s="67"/>
      <c r="BM28" s="34"/>
    </row>
    <row r="29" spans="1:65" ht="16" x14ac:dyDescent="0.2">
      <c r="H29" s="124"/>
      <c r="I29" s="74"/>
      <c r="J29" s="122"/>
      <c r="K29" s="59"/>
      <c r="L29" s="67"/>
      <c r="M29" s="67"/>
      <c r="N29" s="67"/>
      <c r="O29" s="125"/>
      <c r="P29" s="67"/>
      <c r="Q29" s="67"/>
      <c r="R29" s="67"/>
      <c r="S29" s="67"/>
      <c r="T29" s="67"/>
      <c r="U29" s="67"/>
      <c r="V29" s="67"/>
      <c r="W29" s="67"/>
      <c r="X29" s="126"/>
      <c r="Y29" s="126"/>
      <c r="Z29" s="126"/>
      <c r="AA29" s="126"/>
      <c r="AB29" s="67"/>
      <c r="AC29" s="123"/>
      <c r="AD29" s="123"/>
      <c r="AE29" s="123"/>
      <c r="AF29" s="123"/>
      <c r="AG29" s="123"/>
      <c r="AH29" s="123"/>
      <c r="AI29" s="123"/>
      <c r="AJ29" s="123"/>
      <c r="AK29" s="123"/>
      <c r="AL29" s="123"/>
      <c r="AM29" s="67"/>
      <c r="AN29" s="67"/>
      <c r="AO29" s="67"/>
      <c r="AP29" s="67"/>
      <c r="AQ29" s="67"/>
      <c r="AR29" s="67"/>
      <c r="AS29" s="67"/>
      <c r="AT29" s="67"/>
      <c r="AU29" s="67"/>
      <c r="AV29" s="67"/>
      <c r="AW29" s="67"/>
      <c r="AX29" s="67"/>
      <c r="AY29" s="67"/>
      <c r="AZ29" s="67"/>
      <c r="BA29" s="67"/>
      <c r="BB29" s="67"/>
      <c r="BC29" s="67"/>
      <c r="BD29" s="67"/>
      <c r="BE29" s="67"/>
      <c r="BF29" s="67"/>
      <c r="BG29" s="67"/>
      <c r="BH29" s="67"/>
      <c r="BJ29" s="66"/>
      <c r="BL29" s="67"/>
      <c r="BM29" s="34"/>
    </row>
    <row r="30" spans="1:65" ht="18" x14ac:dyDescent="0.2">
      <c r="H30" s="59"/>
      <c r="I30" s="389" t="s">
        <v>157</v>
      </c>
      <c r="J30" s="390"/>
      <c r="K30" s="60">
        <f>K151+K145</f>
        <v>100000</v>
      </c>
      <c r="L30" s="60">
        <f>L151+L145</f>
        <v>110000</v>
      </c>
      <c r="M30" s="60">
        <f t="shared" ref="M30:BH30" si="35">M151+M145</f>
        <v>110000</v>
      </c>
      <c r="N30" s="60">
        <f t="shared" si="35"/>
        <v>110000</v>
      </c>
      <c r="O30" s="60">
        <f t="shared" si="35"/>
        <v>330000</v>
      </c>
      <c r="P30" s="60">
        <f t="shared" si="35"/>
        <v>110000</v>
      </c>
      <c r="Q30" s="60">
        <f t="shared" si="35"/>
        <v>110000</v>
      </c>
      <c r="R30" s="60">
        <f t="shared" si="35"/>
        <v>110000</v>
      </c>
      <c r="S30" s="60">
        <f t="shared" si="35"/>
        <v>150000</v>
      </c>
      <c r="T30" s="60">
        <f t="shared" si="35"/>
        <v>150000</v>
      </c>
      <c r="U30" s="60">
        <f t="shared" si="35"/>
        <v>150000</v>
      </c>
      <c r="V30" s="60">
        <f t="shared" si="35"/>
        <v>150000</v>
      </c>
      <c r="W30" s="60">
        <f t="shared" si="35"/>
        <v>1260000</v>
      </c>
      <c r="X30" s="60">
        <f t="shared" si="35"/>
        <v>1360000</v>
      </c>
      <c r="Y30" s="60"/>
      <c r="Z30" s="60"/>
      <c r="AA30" s="60"/>
      <c r="AB30" s="60">
        <f t="shared" si="35"/>
        <v>0</v>
      </c>
      <c r="AC30" s="60">
        <f t="shared" si="35"/>
        <v>0</v>
      </c>
      <c r="AD30" s="60">
        <f t="shared" si="35"/>
        <v>0</v>
      </c>
      <c r="AE30" s="60">
        <f t="shared" si="35"/>
        <v>0</v>
      </c>
      <c r="AF30" s="60">
        <f t="shared" si="35"/>
        <v>0</v>
      </c>
      <c r="AG30" s="60">
        <f t="shared" si="35"/>
        <v>0</v>
      </c>
      <c r="AH30" s="60">
        <f t="shared" si="35"/>
        <v>0</v>
      </c>
      <c r="AI30" s="60">
        <f t="shared" si="35"/>
        <v>0</v>
      </c>
      <c r="AJ30" s="60">
        <f t="shared" si="35"/>
        <v>0</v>
      </c>
      <c r="AK30" s="60">
        <f t="shared" si="35"/>
        <v>0</v>
      </c>
      <c r="AL30" s="60">
        <f t="shared" si="35"/>
        <v>0</v>
      </c>
      <c r="AM30" s="60">
        <f t="shared" si="35"/>
        <v>0</v>
      </c>
      <c r="AN30" s="60">
        <f t="shared" si="35"/>
        <v>7000</v>
      </c>
      <c r="AO30" s="60" t="e">
        <f t="shared" si="35"/>
        <v>#REF!</v>
      </c>
      <c r="AP30" s="60" t="e">
        <f t="shared" si="35"/>
        <v>#REF!</v>
      </c>
      <c r="AQ30" s="60" t="e">
        <f t="shared" si="35"/>
        <v>#REF!</v>
      </c>
      <c r="AR30" s="60" t="e">
        <f t="shared" si="35"/>
        <v>#REF!</v>
      </c>
      <c r="AS30" s="60" t="e">
        <f t="shared" si="35"/>
        <v>#REF!</v>
      </c>
      <c r="AT30" s="60" t="e">
        <f t="shared" si="35"/>
        <v>#REF!</v>
      </c>
      <c r="AU30" s="60" t="e">
        <f t="shared" si="35"/>
        <v>#REF!</v>
      </c>
      <c r="AV30" s="60" t="e">
        <f t="shared" si="35"/>
        <v>#REF!</v>
      </c>
      <c r="AW30" s="60" t="e">
        <f t="shared" si="35"/>
        <v>#REF!</v>
      </c>
      <c r="AX30" s="60">
        <f t="shared" si="35"/>
        <v>0</v>
      </c>
      <c r="AY30" s="60">
        <f t="shared" si="35"/>
        <v>0</v>
      </c>
      <c r="AZ30" s="60">
        <f t="shared" si="35"/>
        <v>0</v>
      </c>
      <c r="BA30" s="60">
        <f t="shared" si="35"/>
        <v>0</v>
      </c>
      <c r="BB30" s="60">
        <f t="shared" si="35"/>
        <v>0</v>
      </c>
      <c r="BC30" s="60">
        <f t="shared" si="35"/>
        <v>0</v>
      </c>
      <c r="BD30" s="60">
        <f t="shared" si="35"/>
        <v>0</v>
      </c>
      <c r="BE30" s="60">
        <f t="shared" si="35"/>
        <v>0</v>
      </c>
      <c r="BF30" s="60">
        <f t="shared" si="35"/>
        <v>0</v>
      </c>
      <c r="BG30" s="60">
        <f t="shared" si="35"/>
        <v>0</v>
      </c>
      <c r="BH30" s="60">
        <f t="shared" si="35"/>
        <v>0</v>
      </c>
      <c r="BJ30" s="66"/>
      <c r="BL30" s="67"/>
      <c r="BM30" s="34"/>
    </row>
    <row r="31" spans="1:65" ht="18" x14ac:dyDescent="0.2">
      <c r="H31" s="59"/>
      <c r="I31" s="389" t="s">
        <v>158</v>
      </c>
      <c r="J31" s="390"/>
      <c r="K31" s="60">
        <f>K142+K143</f>
        <v>4000</v>
      </c>
      <c r="L31" s="60">
        <f t="shared" ref="L31:BH31" si="36">L142+L143</f>
        <v>31000</v>
      </c>
      <c r="M31" s="60">
        <f t="shared" si="36"/>
        <v>31000</v>
      </c>
      <c r="N31" s="60">
        <f t="shared" si="36"/>
        <v>12000</v>
      </c>
      <c r="O31" s="60">
        <f t="shared" si="36"/>
        <v>74000</v>
      </c>
      <c r="P31" s="60">
        <f t="shared" si="36"/>
        <v>0</v>
      </c>
      <c r="Q31" s="60">
        <f t="shared" si="36"/>
        <v>0</v>
      </c>
      <c r="R31" s="60">
        <f t="shared" si="36"/>
        <v>0</v>
      </c>
      <c r="S31" s="60">
        <f t="shared" si="36"/>
        <v>0</v>
      </c>
      <c r="T31" s="60">
        <f t="shared" si="36"/>
        <v>0</v>
      </c>
      <c r="U31" s="60">
        <f t="shared" si="36"/>
        <v>0</v>
      </c>
      <c r="V31" s="60">
        <f t="shared" si="36"/>
        <v>0</v>
      </c>
      <c r="W31" s="60">
        <f t="shared" si="36"/>
        <v>74000</v>
      </c>
      <c r="X31" s="60">
        <f t="shared" si="36"/>
        <v>78000</v>
      </c>
      <c r="Y31" s="60"/>
      <c r="Z31" s="60"/>
      <c r="AA31" s="60"/>
      <c r="AB31" s="60">
        <f t="shared" si="36"/>
        <v>0</v>
      </c>
      <c r="AC31" s="60">
        <f t="shared" si="36"/>
        <v>0</v>
      </c>
      <c r="AD31" s="60">
        <f t="shared" si="36"/>
        <v>0</v>
      </c>
      <c r="AE31" s="60">
        <f t="shared" si="36"/>
        <v>0</v>
      </c>
      <c r="AF31" s="60">
        <f t="shared" si="36"/>
        <v>0</v>
      </c>
      <c r="AG31" s="60">
        <f t="shared" si="36"/>
        <v>0</v>
      </c>
      <c r="AH31" s="60">
        <f t="shared" si="36"/>
        <v>0</v>
      </c>
      <c r="AI31" s="60">
        <f t="shared" si="36"/>
        <v>0</v>
      </c>
      <c r="AJ31" s="60">
        <f t="shared" si="36"/>
        <v>0</v>
      </c>
      <c r="AK31" s="60">
        <f t="shared" si="36"/>
        <v>0</v>
      </c>
      <c r="AL31" s="60">
        <f t="shared" si="36"/>
        <v>0</v>
      </c>
      <c r="AM31" s="60">
        <f t="shared" si="36"/>
        <v>0</v>
      </c>
      <c r="AN31" s="60">
        <f t="shared" si="36"/>
        <v>0</v>
      </c>
      <c r="AO31" s="60" t="e">
        <f t="shared" si="36"/>
        <v>#REF!</v>
      </c>
      <c r="AP31" s="60" t="e">
        <f t="shared" si="36"/>
        <v>#REF!</v>
      </c>
      <c r="AQ31" s="60" t="e">
        <f t="shared" si="36"/>
        <v>#REF!</v>
      </c>
      <c r="AR31" s="60" t="e">
        <f t="shared" si="36"/>
        <v>#REF!</v>
      </c>
      <c r="AS31" s="60" t="e">
        <f t="shared" si="36"/>
        <v>#REF!</v>
      </c>
      <c r="AT31" s="60" t="e">
        <f t="shared" si="36"/>
        <v>#REF!</v>
      </c>
      <c r="AU31" s="60" t="e">
        <f t="shared" si="36"/>
        <v>#REF!</v>
      </c>
      <c r="AV31" s="60" t="e">
        <f t="shared" si="36"/>
        <v>#REF!</v>
      </c>
      <c r="AW31" s="60" t="e">
        <f t="shared" si="36"/>
        <v>#REF!</v>
      </c>
      <c r="AX31" s="60">
        <f t="shared" si="36"/>
        <v>0</v>
      </c>
      <c r="AY31" s="60">
        <f t="shared" si="36"/>
        <v>0</v>
      </c>
      <c r="AZ31" s="60">
        <f t="shared" si="36"/>
        <v>0</v>
      </c>
      <c r="BA31" s="60">
        <f t="shared" si="36"/>
        <v>0</v>
      </c>
      <c r="BB31" s="60">
        <f t="shared" si="36"/>
        <v>0</v>
      </c>
      <c r="BC31" s="60">
        <f t="shared" si="36"/>
        <v>0</v>
      </c>
      <c r="BD31" s="60">
        <f t="shared" si="36"/>
        <v>0</v>
      </c>
      <c r="BE31" s="60">
        <f t="shared" si="36"/>
        <v>0</v>
      </c>
      <c r="BF31" s="60">
        <f t="shared" si="36"/>
        <v>0</v>
      </c>
      <c r="BG31" s="60">
        <f t="shared" si="36"/>
        <v>0</v>
      </c>
      <c r="BH31" s="60">
        <f t="shared" si="36"/>
        <v>0</v>
      </c>
      <c r="BJ31" s="66"/>
      <c r="BL31" s="67"/>
      <c r="BM31" s="34"/>
    </row>
    <row r="32" spans="1:65" ht="18" x14ac:dyDescent="0.2">
      <c r="H32" s="59"/>
      <c r="I32" s="389" t="s">
        <v>159</v>
      </c>
      <c r="J32" s="390"/>
      <c r="K32" s="60">
        <f>K146+K149+K150+K152+K153+K147</f>
        <v>34000</v>
      </c>
      <c r="L32" s="60">
        <f t="shared" ref="L32:BH32" si="37">L146+L149+L150+L152+L153+L147</f>
        <v>63000</v>
      </c>
      <c r="M32" s="60">
        <f t="shared" si="37"/>
        <v>28000</v>
      </c>
      <c r="N32" s="60">
        <f t="shared" si="37"/>
        <v>12700</v>
      </c>
      <c r="O32" s="60">
        <f t="shared" si="37"/>
        <v>103700</v>
      </c>
      <c r="P32" s="60">
        <f t="shared" si="37"/>
        <v>3000</v>
      </c>
      <c r="Q32" s="60">
        <f t="shared" si="37"/>
        <v>15000</v>
      </c>
      <c r="R32" s="60">
        <f t="shared" si="37"/>
        <v>18000</v>
      </c>
      <c r="S32" s="60">
        <f t="shared" si="37"/>
        <v>0</v>
      </c>
      <c r="T32" s="60">
        <f t="shared" si="37"/>
        <v>0</v>
      </c>
      <c r="U32" s="60">
        <f t="shared" si="37"/>
        <v>0</v>
      </c>
      <c r="V32" s="60">
        <f t="shared" si="37"/>
        <v>0</v>
      </c>
      <c r="W32" s="60">
        <f t="shared" si="37"/>
        <v>139700</v>
      </c>
      <c r="X32" s="60">
        <f t="shared" si="37"/>
        <v>173700</v>
      </c>
      <c r="Y32" s="60"/>
      <c r="Z32" s="60"/>
      <c r="AA32" s="60"/>
      <c r="AB32" s="60">
        <f t="shared" si="37"/>
        <v>0</v>
      </c>
      <c r="AC32" s="60">
        <f t="shared" si="37"/>
        <v>0</v>
      </c>
      <c r="AD32" s="60">
        <f t="shared" si="37"/>
        <v>0</v>
      </c>
      <c r="AE32" s="60">
        <f t="shared" si="37"/>
        <v>0</v>
      </c>
      <c r="AF32" s="60">
        <f t="shared" si="37"/>
        <v>0</v>
      </c>
      <c r="AG32" s="60">
        <f t="shared" si="37"/>
        <v>0</v>
      </c>
      <c r="AH32" s="60">
        <f t="shared" si="37"/>
        <v>0</v>
      </c>
      <c r="AI32" s="60">
        <f t="shared" si="37"/>
        <v>0</v>
      </c>
      <c r="AJ32" s="60">
        <f t="shared" si="37"/>
        <v>0</v>
      </c>
      <c r="AK32" s="60">
        <f t="shared" si="37"/>
        <v>0</v>
      </c>
      <c r="AL32" s="60">
        <f t="shared" si="37"/>
        <v>0</v>
      </c>
      <c r="AM32" s="60">
        <f t="shared" si="37"/>
        <v>0</v>
      </c>
      <c r="AN32" s="60">
        <f t="shared" si="37"/>
        <v>0</v>
      </c>
      <c r="AO32" s="60" t="e">
        <f t="shared" si="37"/>
        <v>#REF!</v>
      </c>
      <c r="AP32" s="60" t="e">
        <f t="shared" si="37"/>
        <v>#REF!</v>
      </c>
      <c r="AQ32" s="60" t="e">
        <f t="shared" si="37"/>
        <v>#REF!</v>
      </c>
      <c r="AR32" s="60" t="e">
        <f t="shared" si="37"/>
        <v>#REF!</v>
      </c>
      <c r="AS32" s="60" t="e">
        <f t="shared" si="37"/>
        <v>#REF!</v>
      </c>
      <c r="AT32" s="60" t="e">
        <f t="shared" si="37"/>
        <v>#REF!</v>
      </c>
      <c r="AU32" s="60" t="e">
        <f t="shared" si="37"/>
        <v>#REF!</v>
      </c>
      <c r="AV32" s="60" t="e">
        <f t="shared" si="37"/>
        <v>#REF!</v>
      </c>
      <c r="AW32" s="60" t="e">
        <f t="shared" si="37"/>
        <v>#REF!</v>
      </c>
      <c r="AX32" s="60">
        <f t="shared" si="37"/>
        <v>0</v>
      </c>
      <c r="AY32" s="60">
        <f t="shared" si="37"/>
        <v>0</v>
      </c>
      <c r="AZ32" s="60">
        <f t="shared" si="37"/>
        <v>0</v>
      </c>
      <c r="BA32" s="60">
        <f t="shared" si="37"/>
        <v>0</v>
      </c>
      <c r="BB32" s="60">
        <f t="shared" si="37"/>
        <v>0</v>
      </c>
      <c r="BC32" s="60">
        <f t="shared" si="37"/>
        <v>0</v>
      </c>
      <c r="BD32" s="60">
        <f t="shared" si="37"/>
        <v>0</v>
      </c>
      <c r="BE32" s="60">
        <f t="shared" si="37"/>
        <v>0</v>
      </c>
      <c r="BF32" s="60">
        <f t="shared" si="37"/>
        <v>0</v>
      </c>
      <c r="BG32" s="60">
        <f t="shared" si="37"/>
        <v>0</v>
      </c>
      <c r="BH32" s="60">
        <f t="shared" si="37"/>
        <v>0</v>
      </c>
      <c r="BJ32" s="66"/>
      <c r="BL32" s="67"/>
      <c r="BM32" s="34"/>
    </row>
    <row r="33" spans="1:65" ht="18" x14ac:dyDescent="0.2">
      <c r="H33" s="59"/>
      <c r="I33" s="389" t="s">
        <v>160</v>
      </c>
      <c r="J33" s="390"/>
      <c r="K33" s="60">
        <f>K144+K148+K154</f>
        <v>66500</v>
      </c>
      <c r="L33" s="60">
        <f t="shared" ref="L33:BH33" si="38">L144+L148+L154</f>
        <v>40500</v>
      </c>
      <c r="M33" s="60">
        <f t="shared" si="38"/>
        <v>15000</v>
      </c>
      <c r="N33" s="60">
        <f t="shared" si="38"/>
        <v>15000</v>
      </c>
      <c r="O33" s="60">
        <f t="shared" si="38"/>
        <v>70500</v>
      </c>
      <c r="P33" s="60">
        <f t="shared" si="38"/>
        <v>35000</v>
      </c>
      <c r="Q33" s="60">
        <f t="shared" si="38"/>
        <v>35000</v>
      </c>
      <c r="R33" s="60">
        <f t="shared" si="38"/>
        <v>35000</v>
      </c>
      <c r="S33" s="60">
        <f t="shared" si="38"/>
        <v>34000</v>
      </c>
      <c r="T33" s="60">
        <f t="shared" si="38"/>
        <v>34000</v>
      </c>
      <c r="U33" s="60">
        <f t="shared" si="38"/>
        <v>0</v>
      </c>
      <c r="V33" s="60">
        <f t="shared" si="38"/>
        <v>0</v>
      </c>
      <c r="W33" s="60">
        <f t="shared" si="38"/>
        <v>243500</v>
      </c>
      <c r="X33" s="60">
        <f t="shared" si="38"/>
        <v>310000</v>
      </c>
      <c r="Y33" s="60"/>
      <c r="Z33" s="60"/>
      <c r="AA33" s="60"/>
      <c r="AB33" s="60">
        <f t="shared" si="38"/>
        <v>0</v>
      </c>
      <c r="AC33" s="60">
        <f t="shared" si="38"/>
        <v>0</v>
      </c>
      <c r="AD33" s="60">
        <f t="shared" si="38"/>
        <v>0</v>
      </c>
      <c r="AE33" s="60">
        <f t="shared" si="38"/>
        <v>0</v>
      </c>
      <c r="AF33" s="60">
        <f t="shared" si="38"/>
        <v>0</v>
      </c>
      <c r="AG33" s="60">
        <f t="shared" si="38"/>
        <v>0</v>
      </c>
      <c r="AH33" s="60">
        <f t="shared" si="38"/>
        <v>0</v>
      </c>
      <c r="AI33" s="60">
        <f t="shared" si="38"/>
        <v>0</v>
      </c>
      <c r="AJ33" s="60">
        <f t="shared" si="38"/>
        <v>0</v>
      </c>
      <c r="AK33" s="60">
        <f t="shared" si="38"/>
        <v>0</v>
      </c>
      <c r="AL33" s="60">
        <f t="shared" si="38"/>
        <v>0</v>
      </c>
      <c r="AM33" s="60">
        <f t="shared" si="38"/>
        <v>0</v>
      </c>
      <c r="AN33" s="60">
        <f t="shared" si="38"/>
        <v>0</v>
      </c>
      <c r="AO33" s="60" t="e">
        <f t="shared" si="38"/>
        <v>#REF!</v>
      </c>
      <c r="AP33" s="60" t="e">
        <f t="shared" si="38"/>
        <v>#REF!</v>
      </c>
      <c r="AQ33" s="60" t="e">
        <f t="shared" si="38"/>
        <v>#REF!</v>
      </c>
      <c r="AR33" s="60" t="e">
        <f t="shared" si="38"/>
        <v>#REF!</v>
      </c>
      <c r="AS33" s="60" t="e">
        <f t="shared" si="38"/>
        <v>#REF!</v>
      </c>
      <c r="AT33" s="60" t="e">
        <f t="shared" si="38"/>
        <v>#REF!</v>
      </c>
      <c r="AU33" s="60" t="e">
        <f t="shared" si="38"/>
        <v>#REF!</v>
      </c>
      <c r="AV33" s="60" t="e">
        <f t="shared" si="38"/>
        <v>#REF!</v>
      </c>
      <c r="AW33" s="60" t="e">
        <f t="shared" si="38"/>
        <v>#REF!</v>
      </c>
      <c r="AX33" s="60">
        <f t="shared" si="38"/>
        <v>0</v>
      </c>
      <c r="AY33" s="60">
        <f t="shared" si="38"/>
        <v>0</v>
      </c>
      <c r="AZ33" s="60">
        <f t="shared" si="38"/>
        <v>0</v>
      </c>
      <c r="BA33" s="60">
        <f t="shared" si="38"/>
        <v>0</v>
      </c>
      <c r="BB33" s="60">
        <f t="shared" si="38"/>
        <v>0</v>
      </c>
      <c r="BC33" s="60">
        <f t="shared" si="38"/>
        <v>0</v>
      </c>
      <c r="BD33" s="60">
        <f t="shared" si="38"/>
        <v>0</v>
      </c>
      <c r="BE33" s="60">
        <f t="shared" si="38"/>
        <v>0</v>
      </c>
      <c r="BF33" s="60">
        <f t="shared" si="38"/>
        <v>0</v>
      </c>
      <c r="BG33" s="60">
        <f t="shared" si="38"/>
        <v>0</v>
      </c>
      <c r="BH33" s="60">
        <f t="shared" si="38"/>
        <v>0</v>
      </c>
      <c r="BJ33" s="66"/>
      <c r="BL33" s="67"/>
      <c r="BM33" s="34"/>
    </row>
    <row r="34" spans="1:65" s="4" customFormat="1" ht="16" x14ac:dyDescent="0.2">
      <c r="A34" s="57"/>
      <c r="D34" s="68"/>
      <c r="I34" s="70" t="s">
        <v>161</v>
      </c>
      <c r="J34" s="71"/>
      <c r="K34" s="73">
        <f t="shared" ref="K34:X34" si="39">SUM(K30:K33)</f>
        <v>204500</v>
      </c>
      <c r="L34" s="73">
        <f t="shared" si="39"/>
        <v>244500</v>
      </c>
      <c r="M34" s="73">
        <f t="shared" si="39"/>
        <v>184000</v>
      </c>
      <c r="N34" s="73">
        <f>SUM(N30:N33)</f>
        <v>149700</v>
      </c>
      <c r="O34" s="73">
        <f>SUM(O30:O33)</f>
        <v>578200</v>
      </c>
      <c r="P34" s="73">
        <f t="shared" si="39"/>
        <v>148000</v>
      </c>
      <c r="Q34" s="73">
        <f t="shared" si="39"/>
        <v>160000</v>
      </c>
      <c r="R34" s="73">
        <f t="shared" si="39"/>
        <v>163000</v>
      </c>
      <c r="S34" s="73">
        <f t="shared" si="39"/>
        <v>184000</v>
      </c>
      <c r="T34" s="73">
        <f t="shared" si="39"/>
        <v>184000</v>
      </c>
      <c r="U34" s="73">
        <f t="shared" si="39"/>
        <v>150000</v>
      </c>
      <c r="V34" s="73">
        <f t="shared" si="39"/>
        <v>150000</v>
      </c>
      <c r="W34" s="73">
        <f t="shared" si="39"/>
        <v>1717200</v>
      </c>
      <c r="X34" s="73">
        <f t="shared" si="39"/>
        <v>1921700</v>
      </c>
      <c r="Y34" s="73"/>
      <c r="Z34" s="73"/>
      <c r="AA34" s="73"/>
      <c r="AB34" s="73">
        <f t="shared" ref="AB34:BH34" si="40">SUM(AB30:AB33)</f>
        <v>0</v>
      </c>
      <c r="AC34" s="73">
        <f t="shared" si="40"/>
        <v>0</v>
      </c>
      <c r="AD34" s="73">
        <f t="shared" si="40"/>
        <v>0</v>
      </c>
      <c r="AE34" s="73">
        <f t="shared" si="40"/>
        <v>0</v>
      </c>
      <c r="AF34" s="73">
        <f t="shared" si="40"/>
        <v>0</v>
      </c>
      <c r="AG34" s="73">
        <f t="shared" si="40"/>
        <v>0</v>
      </c>
      <c r="AH34" s="73">
        <f t="shared" si="40"/>
        <v>0</v>
      </c>
      <c r="AI34" s="73">
        <f t="shared" si="40"/>
        <v>0</v>
      </c>
      <c r="AJ34" s="73">
        <f t="shared" si="40"/>
        <v>0</v>
      </c>
      <c r="AK34" s="73">
        <f t="shared" si="40"/>
        <v>0</v>
      </c>
      <c r="AL34" s="73">
        <f t="shared" si="40"/>
        <v>0</v>
      </c>
      <c r="AM34" s="73">
        <f t="shared" si="40"/>
        <v>0</v>
      </c>
      <c r="AN34" s="73">
        <f t="shared" si="40"/>
        <v>7000</v>
      </c>
      <c r="AO34" s="73" t="e">
        <f t="shared" si="40"/>
        <v>#REF!</v>
      </c>
      <c r="AP34" s="73" t="e">
        <f t="shared" si="40"/>
        <v>#REF!</v>
      </c>
      <c r="AQ34" s="73" t="e">
        <f t="shared" si="40"/>
        <v>#REF!</v>
      </c>
      <c r="AR34" s="73" t="e">
        <f t="shared" si="40"/>
        <v>#REF!</v>
      </c>
      <c r="AS34" s="73" t="e">
        <f t="shared" si="40"/>
        <v>#REF!</v>
      </c>
      <c r="AT34" s="73" t="e">
        <f t="shared" si="40"/>
        <v>#REF!</v>
      </c>
      <c r="AU34" s="73" t="e">
        <f t="shared" si="40"/>
        <v>#REF!</v>
      </c>
      <c r="AV34" s="73" t="e">
        <f t="shared" si="40"/>
        <v>#REF!</v>
      </c>
      <c r="AW34" s="73" t="e">
        <f t="shared" si="40"/>
        <v>#REF!</v>
      </c>
      <c r="AX34" s="73">
        <f t="shared" si="40"/>
        <v>0</v>
      </c>
      <c r="AY34" s="73">
        <f t="shared" si="40"/>
        <v>0</v>
      </c>
      <c r="AZ34" s="73">
        <f t="shared" si="40"/>
        <v>0</v>
      </c>
      <c r="BA34" s="73">
        <f t="shared" si="40"/>
        <v>0</v>
      </c>
      <c r="BB34" s="73">
        <f t="shared" si="40"/>
        <v>0</v>
      </c>
      <c r="BC34" s="73">
        <f t="shared" si="40"/>
        <v>0</v>
      </c>
      <c r="BD34" s="73">
        <f t="shared" si="40"/>
        <v>0</v>
      </c>
      <c r="BE34" s="73">
        <f t="shared" si="40"/>
        <v>0</v>
      </c>
      <c r="BF34" s="73">
        <f t="shared" si="40"/>
        <v>0</v>
      </c>
      <c r="BG34" s="73">
        <f t="shared" si="40"/>
        <v>0</v>
      </c>
      <c r="BH34" s="73">
        <f t="shared" si="40"/>
        <v>0</v>
      </c>
      <c r="BJ34" s="66"/>
      <c r="BL34" s="102"/>
      <c r="BM34" s="103"/>
    </row>
    <row r="35" spans="1:65" ht="16" x14ac:dyDescent="0.2">
      <c r="H35" s="124"/>
      <c r="I35" s="74"/>
      <c r="J35" s="122"/>
      <c r="K35" s="127"/>
      <c r="L35" s="127"/>
      <c r="M35" s="127"/>
      <c r="N35" s="127"/>
      <c r="O35" s="128"/>
      <c r="P35" s="127"/>
      <c r="Q35" s="127"/>
      <c r="R35" s="127"/>
      <c r="S35" s="127"/>
      <c r="T35" s="127"/>
      <c r="U35" s="127"/>
      <c r="V35" s="127"/>
      <c r="W35" s="127"/>
      <c r="X35" s="129"/>
      <c r="Y35" s="129"/>
      <c r="Z35" s="129"/>
      <c r="AA35" s="129"/>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J35" s="66"/>
      <c r="BL35" s="130"/>
      <c r="BM35" s="131"/>
    </row>
    <row r="36" spans="1:65" s="4" customFormat="1" ht="16" x14ac:dyDescent="0.2">
      <c r="A36" s="57"/>
      <c r="B36" s="48"/>
      <c r="C36" s="48"/>
      <c r="D36" s="132"/>
      <c r="E36" s="48"/>
      <c r="F36" s="48"/>
      <c r="G36" s="48"/>
      <c r="I36" s="70" t="s">
        <v>162</v>
      </c>
      <c r="J36" s="71"/>
      <c r="K36" s="73" t="e">
        <f t="shared" ref="K36:X36" si="41">K28+K34</f>
        <v>#REF!</v>
      </c>
      <c r="L36" s="73">
        <f t="shared" si="41"/>
        <v>1498334</v>
      </c>
      <c r="M36" s="73">
        <f t="shared" si="41"/>
        <v>1035406</v>
      </c>
      <c r="N36" s="73">
        <f>N28+N34</f>
        <v>817477</v>
      </c>
      <c r="O36" s="73">
        <f t="shared" si="41"/>
        <v>3351217</v>
      </c>
      <c r="P36" s="73">
        <f t="shared" si="41"/>
        <v>790422</v>
      </c>
      <c r="Q36" s="73">
        <f t="shared" si="41"/>
        <v>587200</v>
      </c>
      <c r="R36" s="73">
        <f t="shared" si="41"/>
        <v>478974</v>
      </c>
      <c r="S36" s="73">
        <f t="shared" si="41"/>
        <v>982033</v>
      </c>
      <c r="T36" s="73">
        <f t="shared" si="41"/>
        <v>1108750</v>
      </c>
      <c r="U36" s="73">
        <f t="shared" si="41"/>
        <v>988250</v>
      </c>
      <c r="V36" s="73">
        <f t="shared" si="41"/>
        <v>904750</v>
      </c>
      <c r="W36" s="73">
        <f t="shared" si="41"/>
        <v>9191596</v>
      </c>
      <c r="X36" s="73" t="e">
        <f t="shared" si="41"/>
        <v>#REF!</v>
      </c>
      <c r="Y36" s="73"/>
      <c r="Z36" s="73"/>
      <c r="AA36" s="73"/>
      <c r="AB36" s="73">
        <f t="shared" ref="AB36:BH36" si="42">AB28+AB34</f>
        <v>0</v>
      </c>
      <c r="AC36" s="73" t="e">
        <f t="shared" si="42"/>
        <v>#REF!</v>
      </c>
      <c r="AD36" s="73" t="e">
        <f t="shared" si="42"/>
        <v>#REF!</v>
      </c>
      <c r="AE36" s="73" t="e">
        <f t="shared" si="42"/>
        <v>#REF!</v>
      </c>
      <c r="AF36" s="73" t="e">
        <f t="shared" si="42"/>
        <v>#REF!</v>
      </c>
      <c r="AG36" s="73" t="e">
        <f t="shared" si="42"/>
        <v>#REF!</v>
      </c>
      <c r="AH36" s="73" t="e">
        <f t="shared" si="42"/>
        <v>#REF!</v>
      </c>
      <c r="AI36" s="73" t="e">
        <f t="shared" si="42"/>
        <v>#REF!</v>
      </c>
      <c r="AJ36" s="73" t="e">
        <f t="shared" si="42"/>
        <v>#REF!</v>
      </c>
      <c r="AK36" s="73" t="e">
        <f t="shared" si="42"/>
        <v>#REF!</v>
      </c>
      <c r="AL36" s="73" t="e">
        <f t="shared" si="42"/>
        <v>#REF!</v>
      </c>
      <c r="AM36" s="73">
        <f t="shared" si="42"/>
        <v>0</v>
      </c>
      <c r="AN36" s="73" t="e">
        <f t="shared" si="42"/>
        <v>#REF!</v>
      </c>
      <c r="AO36" s="73" t="e">
        <f t="shared" si="42"/>
        <v>#REF!</v>
      </c>
      <c r="AP36" s="73" t="e">
        <f t="shared" si="42"/>
        <v>#REF!</v>
      </c>
      <c r="AQ36" s="73" t="e">
        <f t="shared" si="42"/>
        <v>#REF!</v>
      </c>
      <c r="AR36" s="73" t="e">
        <f t="shared" si="42"/>
        <v>#REF!</v>
      </c>
      <c r="AS36" s="73" t="e">
        <f t="shared" si="42"/>
        <v>#REF!</v>
      </c>
      <c r="AT36" s="73" t="e">
        <f t="shared" si="42"/>
        <v>#REF!</v>
      </c>
      <c r="AU36" s="73" t="e">
        <f t="shared" si="42"/>
        <v>#REF!</v>
      </c>
      <c r="AV36" s="73" t="e">
        <f t="shared" si="42"/>
        <v>#REF!</v>
      </c>
      <c r="AW36" s="73" t="e">
        <f t="shared" si="42"/>
        <v>#REF!</v>
      </c>
      <c r="AX36" s="73">
        <f t="shared" si="42"/>
        <v>0</v>
      </c>
      <c r="AY36" s="73">
        <f t="shared" si="42"/>
        <v>0</v>
      </c>
      <c r="AZ36" s="73">
        <f t="shared" si="42"/>
        <v>11748</v>
      </c>
      <c r="BA36" s="73">
        <f t="shared" si="42"/>
        <v>0</v>
      </c>
      <c r="BB36" s="73">
        <f t="shared" si="42"/>
        <v>29217</v>
      </c>
      <c r="BC36" s="73">
        <f t="shared" si="42"/>
        <v>0</v>
      </c>
      <c r="BD36" s="73">
        <f t="shared" si="42"/>
        <v>46942</v>
      </c>
      <c r="BE36" s="73">
        <f t="shared" si="42"/>
        <v>0</v>
      </c>
      <c r="BF36" s="73">
        <f t="shared" si="42"/>
        <v>0</v>
      </c>
      <c r="BG36" s="73">
        <f t="shared" si="42"/>
        <v>0</v>
      </c>
      <c r="BH36" s="73">
        <f t="shared" si="42"/>
        <v>25000</v>
      </c>
      <c r="BJ36" s="66"/>
      <c r="BL36" s="133"/>
      <c r="BM36" s="134"/>
    </row>
    <row r="37" spans="1:65" s="140" customFormat="1" ht="16" x14ac:dyDescent="0.2">
      <c r="A37" s="135"/>
      <c r="B37" s="136"/>
      <c r="C37" s="136"/>
      <c r="D37" s="137"/>
      <c r="E37" s="136"/>
      <c r="F37" s="136"/>
      <c r="G37" s="136"/>
      <c r="H37" s="131"/>
      <c r="I37" s="131"/>
      <c r="J37" s="138"/>
      <c r="K37" s="139" t="e">
        <f t="shared" ref="K37:X37" si="43">K36-K159</f>
        <v>#REF!</v>
      </c>
      <c r="L37" s="139">
        <f t="shared" si="43"/>
        <v>0</v>
      </c>
      <c r="M37" s="139">
        <f t="shared" si="43"/>
        <v>0</v>
      </c>
      <c r="N37" s="139">
        <f t="shared" si="43"/>
        <v>0</v>
      </c>
      <c r="O37" s="139">
        <f t="shared" si="43"/>
        <v>0</v>
      </c>
      <c r="P37" s="139">
        <f t="shared" si="43"/>
        <v>0</v>
      </c>
      <c r="Q37" s="139">
        <f t="shared" si="43"/>
        <v>0</v>
      </c>
      <c r="R37" s="139">
        <f t="shared" si="43"/>
        <v>0</v>
      </c>
      <c r="S37" s="139">
        <f t="shared" si="43"/>
        <v>0</v>
      </c>
      <c r="T37" s="139">
        <f t="shared" si="43"/>
        <v>0</v>
      </c>
      <c r="U37" s="139">
        <f t="shared" si="43"/>
        <v>0</v>
      </c>
      <c r="V37" s="139">
        <f t="shared" si="43"/>
        <v>0</v>
      </c>
      <c r="W37" s="139">
        <f t="shared" si="43"/>
        <v>0</v>
      </c>
      <c r="X37" s="139" t="e">
        <f t="shared" si="43"/>
        <v>#REF!</v>
      </c>
      <c r="Y37" s="139"/>
      <c r="Z37" s="139"/>
      <c r="AA37" s="139"/>
      <c r="AB37" s="139">
        <f t="shared" ref="AB37:BH37" si="44">AB36-AB159</f>
        <v>0</v>
      </c>
      <c r="AC37" s="139" t="e">
        <f t="shared" si="44"/>
        <v>#REF!</v>
      </c>
      <c r="AD37" s="139" t="e">
        <f t="shared" si="44"/>
        <v>#REF!</v>
      </c>
      <c r="AE37" s="139" t="e">
        <f t="shared" si="44"/>
        <v>#REF!</v>
      </c>
      <c r="AF37" s="139" t="e">
        <f t="shared" si="44"/>
        <v>#REF!</v>
      </c>
      <c r="AG37" s="139" t="e">
        <f t="shared" si="44"/>
        <v>#REF!</v>
      </c>
      <c r="AH37" s="139" t="e">
        <f t="shared" si="44"/>
        <v>#REF!</v>
      </c>
      <c r="AI37" s="139" t="e">
        <f t="shared" si="44"/>
        <v>#REF!</v>
      </c>
      <c r="AJ37" s="139" t="e">
        <f t="shared" si="44"/>
        <v>#REF!</v>
      </c>
      <c r="AK37" s="139" t="e">
        <f t="shared" si="44"/>
        <v>#REF!</v>
      </c>
      <c r="AL37" s="139" t="e">
        <f t="shared" si="44"/>
        <v>#REF!</v>
      </c>
      <c r="AM37" s="139">
        <f t="shared" si="44"/>
        <v>0</v>
      </c>
      <c r="AN37" s="139" t="e">
        <f t="shared" si="44"/>
        <v>#REF!</v>
      </c>
      <c r="AO37" s="139" t="e">
        <f t="shared" si="44"/>
        <v>#REF!</v>
      </c>
      <c r="AP37" s="139" t="e">
        <f t="shared" si="44"/>
        <v>#REF!</v>
      </c>
      <c r="AQ37" s="139" t="e">
        <f t="shared" si="44"/>
        <v>#REF!</v>
      </c>
      <c r="AR37" s="139" t="e">
        <f t="shared" si="44"/>
        <v>#REF!</v>
      </c>
      <c r="AS37" s="139" t="e">
        <f t="shared" si="44"/>
        <v>#REF!</v>
      </c>
      <c r="AT37" s="139" t="e">
        <f t="shared" si="44"/>
        <v>#REF!</v>
      </c>
      <c r="AU37" s="139" t="e">
        <f t="shared" si="44"/>
        <v>#REF!</v>
      </c>
      <c r="AV37" s="139" t="e">
        <f t="shared" si="44"/>
        <v>#REF!</v>
      </c>
      <c r="AW37" s="139" t="e">
        <f t="shared" si="44"/>
        <v>#REF!</v>
      </c>
      <c r="AX37" s="139">
        <f t="shared" si="44"/>
        <v>0</v>
      </c>
      <c r="AY37" s="139">
        <f t="shared" si="44"/>
        <v>0</v>
      </c>
      <c r="AZ37" s="139">
        <f t="shared" si="44"/>
        <v>0</v>
      </c>
      <c r="BA37" s="139">
        <f t="shared" si="44"/>
        <v>0</v>
      </c>
      <c r="BB37" s="139">
        <f t="shared" si="44"/>
        <v>0</v>
      </c>
      <c r="BC37" s="139">
        <f t="shared" si="44"/>
        <v>0</v>
      </c>
      <c r="BD37" s="139">
        <f t="shared" si="44"/>
        <v>0</v>
      </c>
      <c r="BE37" s="139">
        <f t="shared" si="44"/>
        <v>0</v>
      </c>
      <c r="BF37" s="139">
        <f t="shared" si="44"/>
        <v>0</v>
      </c>
      <c r="BG37" s="139">
        <f t="shared" si="44"/>
        <v>0</v>
      </c>
      <c r="BH37" s="139">
        <f t="shared" si="44"/>
        <v>0</v>
      </c>
      <c r="BJ37" s="66"/>
      <c r="BL37" s="133"/>
      <c r="BM37" s="134"/>
    </row>
    <row r="38" spans="1:65" s="3" customFormat="1" ht="18" x14ac:dyDescent="0.2">
      <c r="A38" s="57"/>
      <c r="B38" s="66"/>
      <c r="C38" s="66"/>
      <c r="D38" s="141"/>
      <c r="E38" s="66"/>
      <c r="F38" s="66"/>
      <c r="G38" s="66"/>
      <c r="H38" s="74"/>
      <c r="I38" s="142"/>
      <c r="J38" s="142"/>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J38" s="66"/>
      <c r="BM38" s="143"/>
    </row>
    <row r="39" spans="1:65" s="4" customFormat="1" ht="21.75" customHeight="1" x14ac:dyDescent="0.2">
      <c r="A39" s="57"/>
      <c r="B39" s="48"/>
      <c r="C39" s="48"/>
      <c r="D39" s="132"/>
      <c r="E39" s="48"/>
      <c r="F39" s="48"/>
      <c r="G39" s="48"/>
      <c r="H39" s="93"/>
      <c r="I39" s="392" t="s">
        <v>163</v>
      </c>
      <c r="J39" s="392"/>
      <c r="K39" s="78">
        <v>1635389</v>
      </c>
      <c r="L39" s="78">
        <v>1322482</v>
      </c>
      <c r="M39" s="78">
        <v>886400</v>
      </c>
      <c r="N39" s="78">
        <v>739960</v>
      </c>
      <c r="O39" s="78">
        <f>L39+M39+N39</f>
        <v>2948842</v>
      </c>
      <c r="P39" s="78">
        <v>558000</v>
      </c>
      <c r="Q39" s="78">
        <v>637000</v>
      </c>
      <c r="R39" s="78">
        <v>443000</v>
      </c>
      <c r="S39" s="78">
        <v>483000</v>
      </c>
      <c r="T39" s="78">
        <v>483000</v>
      </c>
      <c r="U39" s="78">
        <v>433000</v>
      </c>
      <c r="V39" s="78">
        <v>433001</v>
      </c>
      <c r="W39" s="78">
        <f>SUM(O39:V39)</f>
        <v>6418843</v>
      </c>
      <c r="X39" s="78">
        <f>K39+W39</f>
        <v>8054232</v>
      </c>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J39" s="48"/>
      <c r="BM39" s="103"/>
    </row>
    <row r="40" spans="1:65" s="80" customFormat="1" ht="18" x14ac:dyDescent="0.2">
      <c r="A40" s="79"/>
      <c r="B40" s="90"/>
      <c r="C40" s="90"/>
      <c r="D40" s="144"/>
      <c r="E40" s="90"/>
      <c r="F40" s="90"/>
      <c r="G40" s="90"/>
      <c r="H40" s="82"/>
      <c r="I40" s="388" t="s">
        <v>164</v>
      </c>
      <c r="J40" s="388"/>
      <c r="K40" s="145"/>
      <c r="L40" s="145">
        <f>L36-L39</f>
        <v>175852</v>
      </c>
      <c r="M40" s="145">
        <f>M36-M39</f>
        <v>149006</v>
      </c>
      <c r="N40" s="145">
        <f>N36-N39</f>
        <v>77517</v>
      </c>
      <c r="O40" s="145"/>
      <c r="P40" s="145">
        <f t="shared" ref="P40:X40" si="45">P36-P39</f>
        <v>232422</v>
      </c>
      <c r="Q40" s="145">
        <f t="shared" si="45"/>
        <v>-49800</v>
      </c>
      <c r="R40" s="145">
        <f t="shared" si="45"/>
        <v>35974</v>
      </c>
      <c r="S40" s="145">
        <f t="shared" si="45"/>
        <v>499033</v>
      </c>
      <c r="T40" s="145">
        <f t="shared" si="45"/>
        <v>625750</v>
      </c>
      <c r="U40" s="145">
        <f t="shared" si="45"/>
        <v>555250</v>
      </c>
      <c r="V40" s="145">
        <f t="shared" si="45"/>
        <v>471749</v>
      </c>
      <c r="W40" s="145">
        <f t="shared" si="45"/>
        <v>2772753</v>
      </c>
      <c r="X40" s="145" t="e">
        <f t="shared" si="45"/>
        <v>#REF!</v>
      </c>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J40" s="90"/>
      <c r="BM40" s="92"/>
    </row>
    <row r="41" spans="1:65" s="3" customFormat="1" ht="18" x14ac:dyDescent="0.2">
      <c r="A41" s="57"/>
      <c r="B41" s="66"/>
      <c r="C41" s="66"/>
      <c r="D41" s="141"/>
      <c r="E41" s="66"/>
      <c r="F41" s="66"/>
      <c r="G41" s="66"/>
      <c r="H41" s="74"/>
      <c r="I41" s="383"/>
      <c r="J41" s="383"/>
      <c r="K41" s="108"/>
      <c r="L41" s="108">
        <f>L39</f>
        <v>1322482</v>
      </c>
      <c r="M41" s="108">
        <v>1000000</v>
      </c>
      <c r="N41" s="108">
        <v>1000000</v>
      </c>
      <c r="O41" s="108">
        <f>L41+M41+N41</f>
        <v>3322482</v>
      </c>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J41" s="66"/>
      <c r="BM41" s="143"/>
    </row>
    <row r="42" spans="1:65" s="3" customFormat="1" ht="18" x14ac:dyDescent="0.2">
      <c r="A42" s="57"/>
      <c r="B42" s="66"/>
      <c r="C42" s="66"/>
      <c r="D42" s="141"/>
      <c r="E42" s="66"/>
      <c r="F42" s="66"/>
      <c r="G42" s="66"/>
      <c r="H42" s="74"/>
      <c r="I42" s="383" t="s">
        <v>164</v>
      </c>
      <c r="J42" s="383"/>
      <c r="K42" s="108"/>
      <c r="L42" s="108">
        <f>L36-L41</f>
        <v>175852</v>
      </c>
      <c r="M42" s="108">
        <f>M36-M41</f>
        <v>35406</v>
      </c>
      <c r="N42" s="108">
        <f>N36-N41</f>
        <v>-182523</v>
      </c>
      <c r="O42" s="108">
        <f>L42+M42+N42</f>
        <v>28735</v>
      </c>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J42" s="66"/>
      <c r="BM42" s="143"/>
    </row>
    <row r="43" spans="1:65" s="3" customFormat="1" ht="80" outlineLevel="1" x14ac:dyDescent="0.2">
      <c r="A43" s="57"/>
      <c r="B43" s="66"/>
      <c r="C43" s="66"/>
      <c r="D43" s="141"/>
      <c r="E43" s="34"/>
      <c r="F43" s="34"/>
      <c r="G43" s="34"/>
      <c r="H43" s="3" t="s">
        <v>127</v>
      </c>
      <c r="I43" s="381" t="s">
        <v>165</v>
      </c>
      <c r="J43" s="382"/>
      <c r="K43" s="108"/>
      <c r="L43" s="108"/>
      <c r="M43" s="108"/>
      <c r="N43" s="108"/>
      <c r="O43" s="146"/>
      <c r="P43" s="108"/>
      <c r="Q43" s="108"/>
      <c r="R43" s="108"/>
      <c r="S43" s="108"/>
      <c r="T43" s="108"/>
      <c r="U43" s="108"/>
      <c r="V43" s="108"/>
      <c r="W43" s="108"/>
      <c r="X43" s="108"/>
      <c r="Y43" s="147" t="s">
        <v>166</v>
      </c>
      <c r="Z43" s="147"/>
      <c r="AA43" s="108"/>
      <c r="AB43" s="62"/>
      <c r="AC43" s="63"/>
      <c r="AD43" s="63"/>
      <c r="AE43" s="63">
        <f>(-17000-4000)/12*9</f>
        <v>-15750</v>
      </c>
      <c r="AF43" s="63">
        <f>(-17000-4000)</f>
        <v>-21000</v>
      </c>
      <c r="AG43" s="63">
        <f t="shared" ref="AG43:AL43" si="46">(-17000-4000)</f>
        <v>-21000</v>
      </c>
      <c r="AH43" s="63">
        <f t="shared" si="46"/>
        <v>-21000</v>
      </c>
      <c r="AI43" s="63">
        <f t="shared" si="46"/>
        <v>-21000</v>
      </c>
      <c r="AJ43" s="63">
        <f t="shared" si="46"/>
        <v>-21000</v>
      </c>
      <c r="AK43" s="63">
        <f t="shared" si="46"/>
        <v>-21000</v>
      </c>
      <c r="AL43" s="63">
        <f t="shared" si="46"/>
        <v>-21000</v>
      </c>
      <c r="AM43" s="62"/>
      <c r="AN43" s="64"/>
      <c r="AO43" s="64"/>
      <c r="AP43" s="64"/>
      <c r="AQ43" s="64"/>
      <c r="AR43" s="64"/>
      <c r="AS43" s="64"/>
      <c r="AT43" s="64"/>
      <c r="AU43" s="64"/>
      <c r="AV43" s="64"/>
      <c r="AW43" s="64"/>
      <c r="AX43" s="65"/>
      <c r="AY43" s="65"/>
      <c r="AZ43" s="65"/>
      <c r="BA43" s="65"/>
      <c r="BB43" s="65"/>
      <c r="BC43" s="65"/>
      <c r="BD43" s="65"/>
      <c r="BE43" s="65"/>
      <c r="BF43" s="65"/>
      <c r="BG43" s="65"/>
      <c r="BH43" s="65"/>
      <c r="BJ43" s="66"/>
      <c r="BM43" s="143"/>
    </row>
    <row r="44" spans="1:65" s="3" customFormat="1" ht="48" outlineLevel="1" x14ac:dyDescent="0.2">
      <c r="A44" s="57"/>
      <c r="B44" s="66"/>
      <c r="C44" s="66"/>
      <c r="D44" s="141"/>
      <c r="E44" s="66"/>
      <c r="F44" s="66"/>
      <c r="G44" s="66"/>
      <c r="H44" s="3" t="s">
        <v>167</v>
      </c>
      <c r="I44" s="381" t="s">
        <v>168</v>
      </c>
      <c r="J44" s="382"/>
      <c r="K44" s="108"/>
      <c r="L44" s="108"/>
      <c r="M44" s="108"/>
      <c r="N44" s="108"/>
      <c r="O44" s="146"/>
      <c r="P44" s="108"/>
      <c r="Q44" s="108"/>
      <c r="R44" s="108"/>
      <c r="S44" s="108"/>
      <c r="T44" s="108"/>
      <c r="U44" s="108"/>
      <c r="V44" s="108"/>
      <c r="W44" s="108"/>
      <c r="X44" s="108"/>
      <c r="Y44" s="147" t="s">
        <v>169</v>
      </c>
      <c r="Z44" s="147"/>
      <c r="AA44" s="108"/>
      <c r="AB44" s="62"/>
      <c r="AC44" s="63">
        <f>-1000+1000</f>
        <v>0</v>
      </c>
      <c r="AD44" s="63">
        <f t="shared" ref="AD44:AL44" si="47">-1000+1000</f>
        <v>0</v>
      </c>
      <c r="AE44" s="63">
        <f t="shared" si="47"/>
        <v>0</v>
      </c>
      <c r="AF44" s="63">
        <f t="shared" si="47"/>
        <v>0</v>
      </c>
      <c r="AG44" s="63">
        <f t="shared" si="47"/>
        <v>0</v>
      </c>
      <c r="AH44" s="63">
        <f t="shared" si="47"/>
        <v>0</v>
      </c>
      <c r="AI44" s="63">
        <f t="shared" si="47"/>
        <v>0</v>
      </c>
      <c r="AJ44" s="63">
        <f t="shared" si="47"/>
        <v>0</v>
      </c>
      <c r="AK44" s="63">
        <f t="shared" si="47"/>
        <v>0</v>
      </c>
      <c r="AL44" s="63">
        <f t="shared" si="47"/>
        <v>0</v>
      </c>
      <c r="AM44" s="62"/>
      <c r="AN44" s="64"/>
      <c r="AO44" s="64"/>
      <c r="AP44" s="64"/>
      <c r="AQ44" s="64"/>
      <c r="AR44" s="64"/>
      <c r="AS44" s="64"/>
      <c r="AT44" s="64"/>
      <c r="AU44" s="64"/>
      <c r="AV44" s="64"/>
      <c r="AW44" s="64"/>
      <c r="AX44" s="65"/>
      <c r="AY44" s="65"/>
      <c r="AZ44" s="65"/>
      <c r="BA44" s="65"/>
      <c r="BB44" s="65"/>
      <c r="BC44" s="65"/>
      <c r="BD44" s="65"/>
      <c r="BE44" s="65"/>
      <c r="BF44" s="65"/>
      <c r="BG44" s="65"/>
      <c r="BH44" s="65"/>
      <c r="BJ44" s="66"/>
      <c r="BM44" s="143"/>
    </row>
    <row r="45" spans="1:65" s="3" customFormat="1" ht="48" outlineLevel="1" x14ac:dyDescent="0.2">
      <c r="A45" s="57"/>
      <c r="B45" s="66"/>
      <c r="C45" s="66"/>
      <c r="D45" s="141"/>
      <c r="E45" s="66"/>
      <c r="F45" s="66"/>
      <c r="G45" s="66"/>
      <c r="H45" s="3" t="s">
        <v>170</v>
      </c>
      <c r="I45" s="381" t="s">
        <v>171</v>
      </c>
      <c r="J45" s="382"/>
      <c r="K45" s="108"/>
      <c r="L45" s="108"/>
      <c r="M45" s="108"/>
      <c r="N45" s="108"/>
      <c r="O45" s="146"/>
      <c r="P45" s="108"/>
      <c r="Q45" s="108"/>
      <c r="R45" s="108"/>
      <c r="S45" s="108"/>
      <c r="T45" s="108"/>
      <c r="U45" s="108"/>
      <c r="V45" s="108"/>
      <c r="W45" s="108"/>
      <c r="X45" s="108"/>
      <c r="Y45" s="147" t="s">
        <v>172</v>
      </c>
      <c r="Z45" s="147"/>
      <c r="AA45" s="108"/>
      <c r="AB45" s="62"/>
      <c r="AC45" s="63"/>
      <c r="AD45" s="63"/>
      <c r="AE45" s="63"/>
      <c r="AF45" s="63">
        <f t="shared" ref="AF45:AL45" si="48">(-336-402)</f>
        <v>-738</v>
      </c>
      <c r="AG45" s="63">
        <f t="shared" si="48"/>
        <v>-738</v>
      </c>
      <c r="AH45" s="63">
        <f t="shared" si="48"/>
        <v>-738</v>
      </c>
      <c r="AI45" s="63">
        <f t="shared" si="48"/>
        <v>-738</v>
      </c>
      <c r="AJ45" s="63">
        <f t="shared" si="48"/>
        <v>-738</v>
      </c>
      <c r="AK45" s="63">
        <f t="shared" si="48"/>
        <v>-738</v>
      </c>
      <c r="AL45" s="63">
        <f t="shared" si="48"/>
        <v>-738</v>
      </c>
      <c r="AM45" s="62"/>
      <c r="AN45" s="64"/>
      <c r="AO45" s="64"/>
      <c r="AP45" s="64"/>
      <c r="AQ45" s="64"/>
      <c r="AR45" s="64"/>
      <c r="AS45" s="64"/>
      <c r="AT45" s="64"/>
      <c r="AU45" s="64"/>
      <c r="AV45" s="64"/>
      <c r="AW45" s="64"/>
      <c r="AX45" s="65"/>
      <c r="AY45" s="65"/>
      <c r="AZ45" s="65"/>
      <c r="BA45" s="65"/>
      <c r="BB45" s="65"/>
      <c r="BC45" s="65"/>
      <c r="BD45" s="65"/>
      <c r="BE45" s="65"/>
      <c r="BF45" s="65"/>
      <c r="BG45" s="65"/>
      <c r="BH45" s="65"/>
      <c r="BJ45" s="66"/>
      <c r="BM45" s="143"/>
    </row>
    <row r="46" spans="1:65" s="3" customFormat="1" ht="80" outlineLevel="1" x14ac:dyDescent="0.2">
      <c r="A46" s="57"/>
      <c r="B46" s="66"/>
      <c r="C46" s="66"/>
      <c r="D46" s="141"/>
      <c r="E46" s="66"/>
      <c r="F46" s="66"/>
      <c r="G46" s="66"/>
      <c r="I46" s="381" t="s">
        <v>173</v>
      </c>
      <c r="J46" s="382"/>
      <c r="K46" s="108"/>
      <c r="L46" s="108"/>
      <c r="M46" s="108"/>
      <c r="N46" s="108"/>
      <c r="O46" s="146"/>
      <c r="P46" s="108"/>
      <c r="Q46" s="108"/>
      <c r="R46" s="108"/>
      <c r="S46" s="108"/>
      <c r="T46" s="108"/>
      <c r="U46" s="108"/>
      <c r="V46" s="108"/>
      <c r="W46" s="108"/>
      <c r="X46" s="108"/>
      <c r="Y46" s="147" t="s">
        <v>174</v>
      </c>
      <c r="Z46" s="147"/>
      <c r="AA46" s="108"/>
      <c r="AB46" s="62"/>
      <c r="AC46" s="63"/>
      <c r="AD46" s="63"/>
      <c r="AE46" s="63">
        <f>-685-1035-799/12*6</f>
        <v>-2119.5</v>
      </c>
      <c r="AF46" s="63">
        <f>-685-1035-799-126</f>
        <v>-2645</v>
      </c>
      <c r="AG46" s="63">
        <f t="shared" ref="AG46:AL46" si="49">-685-1035-799-126</f>
        <v>-2645</v>
      </c>
      <c r="AH46" s="63">
        <f t="shared" si="49"/>
        <v>-2645</v>
      </c>
      <c r="AI46" s="63">
        <f t="shared" si="49"/>
        <v>-2645</v>
      </c>
      <c r="AJ46" s="63">
        <f t="shared" si="49"/>
        <v>-2645</v>
      </c>
      <c r="AK46" s="63">
        <f t="shared" si="49"/>
        <v>-2645</v>
      </c>
      <c r="AL46" s="63">
        <f t="shared" si="49"/>
        <v>-2645</v>
      </c>
      <c r="AM46" s="62"/>
      <c r="AN46" s="64"/>
      <c r="AO46" s="64"/>
      <c r="AP46" s="64"/>
      <c r="AQ46" s="64"/>
      <c r="AR46" s="64"/>
      <c r="AS46" s="64"/>
      <c r="AT46" s="64"/>
      <c r="AU46" s="64"/>
      <c r="AV46" s="64"/>
      <c r="AW46" s="64"/>
      <c r="AX46" s="65"/>
      <c r="AY46" s="65"/>
      <c r="AZ46" s="65"/>
      <c r="BA46" s="65"/>
      <c r="BB46" s="65"/>
      <c r="BC46" s="65"/>
      <c r="BD46" s="65"/>
      <c r="BE46" s="65"/>
      <c r="BF46" s="65"/>
      <c r="BG46" s="65"/>
      <c r="BH46" s="65"/>
      <c r="BJ46" s="66"/>
      <c r="BM46" s="143"/>
    </row>
    <row r="47" spans="1:65" s="3" customFormat="1" ht="64" outlineLevel="1" x14ac:dyDescent="0.2">
      <c r="A47" s="57"/>
      <c r="B47" s="66"/>
      <c r="C47" s="66">
        <f>603-483</f>
        <v>120</v>
      </c>
      <c r="D47" s="141"/>
      <c r="E47" s="66"/>
      <c r="F47" s="66"/>
      <c r="G47" s="66"/>
      <c r="H47" s="3" t="s">
        <v>167</v>
      </c>
      <c r="I47" s="381" t="s">
        <v>175</v>
      </c>
      <c r="J47" s="382"/>
      <c r="K47" s="108"/>
      <c r="L47" s="108"/>
      <c r="M47" s="108"/>
      <c r="N47" s="108"/>
      <c r="O47" s="146"/>
      <c r="P47" s="108"/>
      <c r="Q47" s="108"/>
      <c r="R47" s="108"/>
      <c r="S47" s="108"/>
      <c r="T47" s="108"/>
      <c r="U47" s="108"/>
      <c r="V47" s="108"/>
      <c r="W47" s="108"/>
      <c r="X47" s="108"/>
      <c r="Y47" s="147" t="s">
        <v>176</v>
      </c>
      <c r="Z47" s="147"/>
      <c r="AA47" s="108"/>
      <c r="AB47" s="62"/>
      <c r="AC47" s="63"/>
      <c r="AD47" s="63">
        <v>-1500</v>
      </c>
      <c r="AE47" s="63">
        <v>-1500</v>
      </c>
      <c r="AF47" s="63">
        <v>-1500</v>
      </c>
      <c r="AG47" s="63">
        <v>-1500</v>
      </c>
      <c r="AH47" s="63">
        <v>-1500</v>
      </c>
      <c r="AI47" s="63">
        <v>-1500</v>
      </c>
      <c r="AJ47" s="63">
        <v>-1500</v>
      </c>
      <c r="AK47" s="63">
        <v>-1500</v>
      </c>
      <c r="AL47" s="63">
        <v>-1500</v>
      </c>
      <c r="AM47" s="62"/>
      <c r="AN47" s="64"/>
      <c r="AO47" s="64"/>
      <c r="AP47" s="64"/>
      <c r="AQ47" s="64"/>
      <c r="AR47" s="64"/>
      <c r="AS47" s="64"/>
      <c r="AT47" s="64"/>
      <c r="AU47" s="64"/>
      <c r="AV47" s="64"/>
      <c r="AW47" s="64"/>
      <c r="AX47" s="65"/>
      <c r="AY47" s="65"/>
      <c r="AZ47" s="65"/>
      <c r="BA47" s="65"/>
      <c r="BB47" s="65"/>
      <c r="BC47" s="65"/>
      <c r="BD47" s="65"/>
      <c r="BE47" s="65"/>
      <c r="BF47" s="65"/>
      <c r="BG47" s="65"/>
      <c r="BH47" s="65"/>
      <c r="BJ47" s="66"/>
      <c r="BM47" s="143"/>
    </row>
    <row r="48" spans="1:65" s="3" customFormat="1" ht="64" outlineLevel="1" x14ac:dyDescent="0.2">
      <c r="A48" s="57"/>
      <c r="B48" s="66"/>
      <c r="C48" s="66"/>
      <c r="D48" s="141"/>
      <c r="E48" s="66"/>
      <c r="F48" s="66"/>
      <c r="G48" s="66"/>
      <c r="H48" s="3" t="s">
        <v>177</v>
      </c>
      <c r="I48" s="381" t="s">
        <v>178</v>
      </c>
      <c r="J48" s="382"/>
      <c r="K48" s="108"/>
      <c r="L48" s="108"/>
      <c r="M48" s="108"/>
      <c r="N48" s="108"/>
      <c r="O48" s="146"/>
      <c r="P48" s="108"/>
      <c r="Q48" s="108"/>
      <c r="R48" s="108"/>
      <c r="S48" s="108"/>
      <c r="T48" s="108"/>
      <c r="U48" s="108"/>
      <c r="V48" s="108"/>
      <c r="W48" s="108"/>
      <c r="X48" s="108"/>
      <c r="Y48" s="147" t="s">
        <v>179</v>
      </c>
      <c r="Z48" s="147"/>
      <c r="AA48" s="108"/>
      <c r="AB48" s="62"/>
      <c r="AC48" s="63"/>
      <c r="AD48" s="63"/>
      <c r="AE48" s="63">
        <v>-2644</v>
      </c>
      <c r="AF48" s="63">
        <v>-2644</v>
      </c>
      <c r="AG48" s="63">
        <v>-2644</v>
      </c>
      <c r="AH48" s="63">
        <v>-2644</v>
      </c>
      <c r="AI48" s="63">
        <v>-2644</v>
      </c>
      <c r="AJ48" s="63">
        <v>-2644</v>
      </c>
      <c r="AK48" s="63">
        <v>-2644</v>
      </c>
      <c r="AL48" s="63">
        <v>-2644</v>
      </c>
      <c r="AM48" s="62"/>
      <c r="AN48" s="64"/>
      <c r="AO48" s="64"/>
      <c r="AP48" s="64"/>
      <c r="AQ48" s="64"/>
      <c r="AR48" s="64"/>
      <c r="AS48" s="64"/>
      <c r="AT48" s="64"/>
      <c r="AU48" s="64"/>
      <c r="AV48" s="64"/>
      <c r="AW48" s="64"/>
      <c r="AX48" s="65"/>
      <c r="AY48" s="65"/>
      <c r="AZ48" s="65"/>
      <c r="BA48" s="65"/>
      <c r="BB48" s="65"/>
      <c r="BC48" s="65"/>
      <c r="BD48" s="65"/>
      <c r="BE48" s="65"/>
      <c r="BF48" s="65"/>
      <c r="BG48" s="65"/>
      <c r="BH48" s="65"/>
      <c r="BJ48" s="66"/>
      <c r="BM48" s="143"/>
    </row>
    <row r="49" spans="1:65" s="3" customFormat="1" ht="48" outlineLevel="1" x14ac:dyDescent="0.2">
      <c r="A49" s="57">
        <v>2018</v>
      </c>
      <c r="B49" s="57">
        <v>2019</v>
      </c>
      <c r="C49" s="57">
        <v>2020</v>
      </c>
      <c r="D49" s="57">
        <v>2021</v>
      </c>
      <c r="E49" s="57">
        <v>2022</v>
      </c>
      <c r="F49" s="57">
        <v>2023</v>
      </c>
      <c r="G49" s="66"/>
      <c r="H49" s="3" t="s">
        <v>167</v>
      </c>
      <c r="I49" s="381" t="s">
        <v>180</v>
      </c>
      <c r="J49" s="382"/>
      <c r="K49" s="108"/>
      <c r="L49" s="108"/>
      <c r="M49" s="108"/>
      <c r="N49" s="108"/>
      <c r="O49" s="146"/>
      <c r="P49" s="108"/>
      <c r="Q49" s="108"/>
      <c r="R49" s="108"/>
      <c r="S49" s="108"/>
      <c r="T49" s="108"/>
      <c r="U49" s="108"/>
      <c r="V49" s="108"/>
      <c r="W49" s="108"/>
      <c r="X49" s="108"/>
      <c r="Y49" s="147" t="s">
        <v>181</v>
      </c>
      <c r="Z49" s="147"/>
      <c r="AA49" s="108"/>
      <c r="AB49" s="62"/>
      <c r="AC49" s="63"/>
      <c r="AD49" s="63"/>
      <c r="AE49" s="63"/>
      <c r="AF49" s="63"/>
      <c r="AG49" s="63">
        <v>-10000</v>
      </c>
      <c r="AH49" s="63">
        <v>-10000</v>
      </c>
      <c r="AI49" s="63">
        <v>-10000</v>
      </c>
      <c r="AJ49" s="63">
        <v>-10000</v>
      </c>
      <c r="AK49" s="63">
        <v>-10000</v>
      </c>
      <c r="AL49" s="63">
        <v>-10000</v>
      </c>
      <c r="AM49" s="62"/>
      <c r="AN49" s="64"/>
      <c r="AO49" s="64"/>
      <c r="AP49" s="64"/>
      <c r="AQ49" s="64"/>
      <c r="AR49" s="64"/>
      <c r="AS49" s="64"/>
      <c r="AT49" s="64"/>
      <c r="AU49" s="64"/>
      <c r="AV49" s="64"/>
      <c r="AW49" s="64"/>
      <c r="AX49" s="65"/>
      <c r="AY49" s="65"/>
      <c r="AZ49" s="65"/>
      <c r="BA49" s="65"/>
      <c r="BB49" s="65"/>
      <c r="BC49" s="65"/>
      <c r="BD49" s="65"/>
      <c r="BE49" s="65"/>
      <c r="BF49" s="65"/>
      <c r="BG49" s="65"/>
      <c r="BH49" s="65"/>
      <c r="BJ49" s="66"/>
      <c r="BM49" s="143"/>
    </row>
    <row r="50" spans="1:65" s="3" customFormat="1" ht="80" outlineLevel="1" x14ac:dyDescent="0.2">
      <c r="A50" s="66">
        <f>L89-L59+L102</f>
        <v>810834</v>
      </c>
      <c r="B50" s="66">
        <f t="shared" ref="B50" si="50">M89-M59+M102</f>
        <v>336026</v>
      </c>
      <c r="C50" s="66">
        <f>N89-N59+N102</f>
        <v>483428</v>
      </c>
      <c r="D50" s="66">
        <f>P89-P59+P102</f>
        <v>522422</v>
      </c>
      <c r="E50" s="66">
        <f t="shared" ref="E50:F50" si="51">Q89-Q59+Q102</f>
        <v>307200</v>
      </c>
      <c r="F50" s="66">
        <f t="shared" si="51"/>
        <v>195974</v>
      </c>
      <c r="G50" s="66" t="s">
        <v>122</v>
      </c>
      <c r="H50" s="3" t="s">
        <v>167</v>
      </c>
      <c r="I50" s="384" t="s">
        <v>182</v>
      </c>
      <c r="J50" s="385"/>
      <c r="K50" s="108"/>
      <c r="L50" s="108"/>
      <c r="M50" s="108"/>
      <c r="N50" s="108"/>
      <c r="O50" s="146"/>
      <c r="P50" s="108"/>
      <c r="Q50" s="108"/>
      <c r="R50" s="108"/>
      <c r="S50" s="108"/>
      <c r="T50" s="108"/>
      <c r="U50" s="108"/>
      <c r="V50" s="108"/>
      <c r="W50" s="108"/>
      <c r="X50" s="108"/>
      <c r="Y50" s="148" t="s">
        <v>183</v>
      </c>
      <c r="Z50" s="148"/>
      <c r="AA50" s="108"/>
      <c r="AB50" s="62"/>
      <c r="AC50" s="63"/>
      <c r="AD50" s="63"/>
      <c r="AE50" s="63"/>
      <c r="AF50" s="63"/>
      <c r="AG50" s="63"/>
      <c r="AH50" s="63"/>
      <c r="AI50" s="87"/>
      <c r="AJ50" s="87">
        <v>-34000</v>
      </c>
      <c r="AK50" s="87">
        <v>-34000</v>
      </c>
      <c r="AL50" s="87">
        <v>-34000</v>
      </c>
      <c r="AM50" s="62"/>
      <c r="AN50" s="64"/>
      <c r="AO50" s="64"/>
      <c r="AP50" s="64"/>
      <c r="AQ50" s="64"/>
      <c r="AR50" s="64"/>
      <c r="AS50" s="64"/>
      <c r="AT50" s="64"/>
      <c r="AU50" s="64"/>
      <c r="AV50" s="64"/>
      <c r="AW50" s="64"/>
      <c r="AX50" s="65"/>
      <c r="AY50" s="65"/>
      <c r="AZ50" s="65"/>
      <c r="BA50" s="65"/>
      <c r="BB50" s="65"/>
      <c r="BC50" s="65"/>
      <c r="BD50" s="65"/>
      <c r="BE50" s="65">
        <v>65000</v>
      </c>
      <c r="BF50" s="65"/>
      <c r="BG50" s="65"/>
      <c r="BH50" s="65"/>
      <c r="BJ50" s="66"/>
      <c r="BM50" s="143"/>
    </row>
    <row r="51" spans="1:65" s="3" customFormat="1" ht="43.5" customHeight="1" x14ac:dyDescent="0.2">
      <c r="A51" s="57"/>
      <c r="B51" s="66"/>
      <c r="C51" s="66">
        <v>603000</v>
      </c>
      <c r="D51" s="141"/>
      <c r="E51" s="66"/>
      <c r="F51" s="66"/>
      <c r="G51" s="66"/>
      <c r="I51" s="386" t="s">
        <v>184</v>
      </c>
      <c r="J51" s="387"/>
      <c r="K51" s="149"/>
      <c r="L51" s="149"/>
      <c r="M51" s="149"/>
      <c r="N51" s="149"/>
      <c r="O51" s="150"/>
      <c r="P51" s="149"/>
      <c r="Q51" s="149"/>
      <c r="R51" s="149"/>
      <c r="S51" s="149"/>
      <c r="T51" s="149"/>
      <c r="U51" s="149"/>
      <c r="V51" s="149"/>
      <c r="W51" s="149"/>
      <c r="X51" s="149"/>
      <c r="Y51" s="151"/>
      <c r="Z51" s="151"/>
      <c r="AA51" s="149"/>
      <c r="AB51" s="149">
        <f t="shared" ref="AB51:AL51" si="52">SUM(AB43:AB50)</f>
        <v>0</v>
      </c>
      <c r="AC51" s="152">
        <f t="shared" si="52"/>
        <v>0</v>
      </c>
      <c r="AD51" s="152">
        <f t="shared" si="52"/>
        <v>-1500</v>
      </c>
      <c r="AE51" s="152">
        <f t="shared" si="52"/>
        <v>-22013.5</v>
      </c>
      <c r="AF51" s="152">
        <f t="shared" si="52"/>
        <v>-28527</v>
      </c>
      <c r="AG51" s="152">
        <f t="shared" si="52"/>
        <v>-38527</v>
      </c>
      <c r="AH51" s="152">
        <f t="shared" si="52"/>
        <v>-38527</v>
      </c>
      <c r="AI51" s="152">
        <f t="shared" si="52"/>
        <v>-38527</v>
      </c>
      <c r="AJ51" s="152">
        <f t="shared" si="52"/>
        <v>-72527</v>
      </c>
      <c r="AK51" s="152">
        <f t="shared" si="52"/>
        <v>-72527</v>
      </c>
      <c r="AL51" s="152">
        <f t="shared" si="52"/>
        <v>-72527</v>
      </c>
      <c r="AM51" s="152">
        <f t="shared" ref="AM51:BD51" si="53">SUM(AM43:AM50)</f>
        <v>0</v>
      </c>
      <c r="AN51" s="152">
        <f t="shared" si="53"/>
        <v>0</v>
      </c>
      <c r="AO51" s="152">
        <f t="shared" si="53"/>
        <v>0</v>
      </c>
      <c r="AP51" s="152">
        <f t="shared" si="53"/>
        <v>0</v>
      </c>
      <c r="AQ51" s="152">
        <f t="shared" si="53"/>
        <v>0</v>
      </c>
      <c r="AR51" s="152">
        <f t="shared" si="53"/>
        <v>0</v>
      </c>
      <c r="AS51" s="152">
        <f t="shared" si="53"/>
        <v>0</v>
      </c>
      <c r="AT51" s="152">
        <f t="shared" si="53"/>
        <v>0</v>
      </c>
      <c r="AU51" s="152">
        <f t="shared" si="53"/>
        <v>0</v>
      </c>
      <c r="AV51" s="152">
        <f t="shared" si="53"/>
        <v>0</v>
      </c>
      <c r="AW51" s="152">
        <f t="shared" si="53"/>
        <v>0</v>
      </c>
      <c r="AX51" s="152">
        <f t="shared" si="53"/>
        <v>0</v>
      </c>
      <c r="AY51" s="152">
        <f t="shared" si="53"/>
        <v>0</v>
      </c>
      <c r="AZ51" s="152">
        <f t="shared" si="53"/>
        <v>0</v>
      </c>
      <c r="BA51" s="152">
        <f t="shared" si="53"/>
        <v>0</v>
      </c>
      <c r="BB51" s="152">
        <f t="shared" si="53"/>
        <v>0</v>
      </c>
      <c r="BC51" s="152">
        <f t="shared" si="53"/>
        <v>0</v>
      </c>
      <c r="BD51" s="152">
        <f t="shared" si="53"/>
        <v>0</v>
      </c>
      <c r="BE51" s="152">
        <f>SUM(BE43:BE50)</f>
        <v>65000</v>
      </c>
      <c r="BF51" s="152">
        <f t="shared" ref="BF51:BH51" si="54">SUM(BF43:BF50)</f>
        <v>0</v>
      </c>
      <c r="BG51" s="152">
        <f t="shared" si="54"/>
        <v>0</v>
      </c>
      <c r="BH51" s="152">
        <f t="shared" si="54"/>
        <v>0</v>
      </c>
      <c r="BJ51" s="66"/>
      <c r="BM51" s="143"/>
    </row>
    <row r="52" spans="1:65" s="3" customFormat="1" ht="16" x14ac:dyDescent="0.2">
      <c r="A52" s="57"/>
      <c r="B52" s="66"/>
      <c r="C52" s="66">
        <f>C50-C51</f>
        <v>-119572</v>
      </c>
      <c r="D52" s="141"/>
      <c r="E52" s="66"/>
      <c r="F52" s="66"/>
      <c r="G52" s="66" t="s">
        <v>129</v>
      </c>
      <c r="I52" s="381"/>
      <c r="J52" s="382"/>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J52" s="66"/>
      <c r="BM52" s="143"/>
    </row>
    <row r="53" spans="1:65" s="3" customFormat="1" ht="16" x14ac:dyDescent="0.2">
      <c r="A53" s="57"/>
      <c r="B53" s="66"/>
      <c r="C53" s="66"/>
      <c r="D53" s="141"/>
      <c r="E53" s="66"/>
      <c r="F53" s="66"/>
      <c r="G53" s="66"/>
      <c r="I53" s="105"/>
      <c r="J53" s="153"/>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G53" s="127"/>
      <c r="BH53" s="127"/>
      <c r="BJ53" s="66"/>
      <c r="BM53" s="143"/>
    </row>
    <row r="54" spans="1:65" ht="16" x14ac:dyDescent="0.2">
      <c r="E54" s="154"/>
      <c r="F54" s="154"/>
      <c r="G54" s="154"/>
      <c r="H54" s="3"/>
      <c r="K54" s="123"/>
      <c r="L54" s="123"/>
      <c r="M54" s="123"/>
      <c r="N54" s="123"/>
      <c r="O54" s="123"/>
      <c r="P54" s="123"/>
      <c r="Q54" s="123"/>
      <c r="R54" s="123"/>
      <c r="S54" s="123"/>
      <c r="T54" s="123"/>
      <c r="U54" s="123"/>
      <c r="V54" s="123"/>
      <c r="W54" s="123"/>
      <c r="X54" s="66"/>
      <c r="Y54" s="2"/>
      <c r="Z54" s="2"/>
      <c r="AP54" s="2"/>
      <c r="AQ54" s="2"/>
      <c r="AR54" s="2"/>
      <c r="AS54" s="2"/>
      <c r="AT54" s="2"/>
      <c r="AU54" s="2"/>
      <c r="AV54" s="2"/>
      <c r="AW54" s="2"/>
      <c r="BF54" s="127"/>
      <c r="BJ54" s="66"/>
      <c r="BL54" s="155"/>
    </row>
    <row r="55" spans="1:65" s="102" customFormat="1" ht="48" x14ac:dyDescent="0.2">
      <c r="A55" s="113"/>
      <c r="B55" s="51" t="s">
        <v>185</v>
      </c>
      <c r="C55" s="51" t="s">
        <v>186</v>
      </c>
      <c r="D55" s="156" t="s">
        <v>187</v>
      </c>
      <c r="E55" s="51" t="s">
        <v>188</v>
      </c>
      <c r="F55" s="51" t="s">
        <v>189</v>
      </c>
      <c r="G55" s="51" t="s">
        <v>190</v>
      </c>
      <c r="H55" s="51" t="s">
        <v>191</v>
      </c>
      <c r="I55" s="51" t="s">
        <v>150</v>
      </c>
      <c r="J55" s="115" t="s">
        <v>151</v>
      </c>
      <c r="K55" s="51" t="s">
        <v>6</v>
      </c>
      <c r="L55" s="51" t="s">
        <v>7</v>
      </c>
      <c r="M55" s="51" t="s">
        <v>8</v>
      </c>
      <c r="N55" s="51" t="s">
        <v>9</v>
      </c>
      <c r="O55" s="51" t="s">
        <v>10</v>
      </c>
      <c r="P55" s="51" t="s">
        <v>11</v>
      </c>
      <c r="Q55" s="51" t="s">
        <v>12</v>
      </c>
      <c r="R55" s="51" t="s">
        <v>13</v>
      </c>
      <c r="S55" s="51" t="s">
        <v>14</v>
      </c>
      <c r="T55" s="51" t="s">
        <v>15</v>
      </c>
      <c r="U55" s="51" t="s">
        <v>16</v>
      </c>
      <c r="V55" s="51" t="s">
        <v>17</v>
      </c>
      <c r="W55" s="51" t="s">
        <v>132</v>
      </c>
      <c r="X55" s="51" t="s">
        <v>133</v>
      </c>
      <c r="Y55" s="51" t="s">
        <v>5</v>
      </c>
      <c r="Z55" s="51" t="s">
        <v>192</v>
      </c>
      <c r="AA55" s="51" t="s">
        <v>193</v>
      </c>
      <c r="AB55" s="116" t="s">
        <v>136</v>
      </c>
      <c r="AC55" s="117" t="s">
        <v>78</v>
      </c>
      <c r="AD55" s="117" t="s">
        <v>79</v>
      </c>
      <c r="AE55" s="117" t="s">
        <v>80</v>
      </c>
      <c r="AF55" s="117" t="s">
        <v>81</v>
      </c>
      <c r="AG55" s="117" t="s">
        <v>82</v>
      </c>
      <c r="AH55" s="117" t="s">
        <v>83</v>
      </c>
      <c r="AI55" s="117" t="s">
        <v>84</v>
      </c>
      <c r="AJ55" s="117" t="s">
        <v>85</v>
      </c>
      <c r="AK55" s="117" t="s">
        <v>86</v>
      </c>
      <c r="AL55" s="117" t="s">
        <v>87</v>
      </c>
      <c r="AM55" s="116" t="s">
        <v>88</v>
      </c>
      <c r="AN55" s="116" t="s">
        <v>89</v>
      </c>
      <c r="AO55" s="116" t="s">
        <v>90</v>
      </c>
      <c r="AP55" s="116" t="s">
        <v>91</v>
      </c>
      <c r="AQ55" s="116" t="s">
        <v>92</v>
      </c>
      <c r="AR55" s="116" t="s">
        <v>93</v>
      </c>
      <c r="AS55" s="116" t="s">
        <v>94</v>
      </c>
      <c r="AT55" s="116" t="s">
        <v>95</v>
      </c>
      <c r="AU55" s="116" t="s">
        <v>96</v>
      </c>
      <c r="AV55" s="116" t="s">
        <v>97</v>
      </c>
      <c r="AW55" s="116" t="s">
        <v>98</v>
      </c>
      <c r="AX55" s="118" t="s">
        <v>137</v>
      </c>
      <c r="AY55" s="118" t="s">
        <v>138</v>
      </c>
      <c r="AZ55" s="118" t="s">
        <v>139</v>
      </c>
      <c r="BA55" s="118" t="s">
        <v>140</v>
      </c>
      <c r="BB55" s="118" t="s">
        <v>141</v>
      </c>
      <c r="BC55" s="118" t="s">
        <v>142</v>
      </c>
      <c r="BD55" s="118" t="s">
        <v>143</v>
      </c>
      <c r="BE55" s="118" t="s">
        <v>144</v>
      </c>
      <c r="BF55" s="118" t="s">
        <v>145</v>
      </c>
      <c r="BG55" s="118" t="s">
        <v>146</v>
      </c>
      <c r="BH55" s="118" t="s">
        <v>147</v>
      </c>
      <c r="BI55" s="4"/>
      <c r="BJ55" s="66"/>
    </row>
    <row r="56" spans="1:65" x14ac:dyDescent="0.15">
      <c r="B56" s="157" t="s">
        <v>194</v>
      </c>
      <c r="K56" s="3"/>
      <c r="L56" s="3"/>
      <c r="W56" s="42"/>
      <c r="AD56" s="2"/>
      <c r="AE56" s="2"/>
      <c r="AF56" s="2"/>
      <c r="AG56" s="2"/>
      <c r="AH56" s="2"/>
      <c r="AI56" s="2"/>
      <c r="AJ56" s="2"/>
      <c r="AK56" s="2"/>
      <c r="AL56" s="2"/>
      <c r="AO56" s="2"/>
      <c r="AP56" s="2"/>
      <c r="AQ56" s="2"/>
      <c r="AR56" s="2"/>
      <c r="AS56" s="2"/>
      <c r="AT56" s="2"/>
      <c r="AU56" s="2"/>
      <c r="AV56" s="2"/>
      <c r="AW56" s="2"/>
      <c r="BJ56" s="66"/>
    </row>
    <row r="57" spans="1:65" s="102" customFormat="1" ht="16" x14ac:dyDescent="0.2">
      <c r="A57" s="113"/>
      <c r="B57" s="159" t="s">
        <v>194</v>
      </c>
      <c r="C57" s="160" t="s">
        <v>195</v>
      </c>
      <c r="D57" s="161"/>
      <c r="E57" s="160"/>
      <c r="F57" s="160"/>
      <c r="G57" s="160"/>
      <c r="H57" s="160"/>
      <c r="I57" s="160"/>
      <c r="J57" s="162"/>
      <c r="K57" s="163"/>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4"/>
      <c r="BJ57" s="4"/>
    </row>
    <row r="58" spans="1:65" outlineLevel="1" x14ac:dyDescent="0.15">
      <c r="AP58" s="165"/>
      <c r="AQ58" s="165"/>
      <c r="AR58" s="165"/>
      <c r="AS58" s="165"/>
      <c r="AT58" s="165"/>
      <c r="AU58" s="165"/>
      <c r="AV58" s="165"/>
      <c r="AW58" s="165"/>
    </row>
    <row r="59" spans="1:65" s="126" customFormat="1" ht="32" outlineLevel="1" x14ac:dyDescent="0.2">
      <c r="A59" s="113">
        <v>1</v>
      </c>
      <c r="B59" s="166" t="s">
        <v>167</v>
      </c>
      <c r="C59" s="166" t="s">
        <v>196</v>
      </c>
      <c r="D59" s="167"/>
      <c r="E59" s="166" t="s">
        <v>197</v>
      </c>
      <c r="F59" s="168">
        <v>0</v>
      </c>
      <c r="G59" s="169" t="s">
        <v>198</v>
      </c>
      <c r="H59" s="170" t="s">
        <v>199</v>
      </c>
      <c r="I59" s="60" t="s">
        <v>200</v>
      </c>
      <c r="J59" s="60">
        <v>0</v>
      </c>
      <c r="K59" s="60"/>
      <c r="L59" s="171">
        <v>120000</v>
      </c>
      <c r="M59" s="171">
        <v>120000</v>
      </c>
      <c r="N59" s="171">
        <v>120000</v>
      </c>
      <c r="O59" s="172">
        <f t="shared" ref="O59:O88" si="55">L59+M59+N59</f>
        <v>360000</v>
      </c>
      <c r="P59" s="171">
        <v>120000</v>
      </c>
      <c r="Q59" s="171">
        <v>120000</v>
      </c>
      <c r="R59" s="171">
        <v>120000</v>
      </c>
      <c r="S59" s="171">
        <v>0</v>
      </c>
      <c r="T59" s="60"/>
      <c r="U59" s="108"/>
      <c r="V59" s="108"/>
      <c r="W59" s="173">
        <f t="shared" ref="W59:W88" si="56">O59+P59+Q59+R59+S59+T59+U59+V59</f>
        <v>720000</v>
      </c>
      <c r="X59" s="174">
        <f t="shared" ref="X59:X87" si="57">K59+L59+M59+N59+P59+Q59+R59+S59+T59+U59+V59</f>
        <v>720000</v>
      </c>
      <c r="Y59" s="175" t="s">
        <v>201</v>
      </c>
      <c r="Z59" s="175" t="s">
        <v>202</v>
      </c>
      <c r="AA59" s="175" t="s">
        <v>203</v>
      </c>
      <c r="AB59" s="62"/>
      <c r="AC59" s="63"/>
      <c r="AD59" s="176"/>
      <c r="AE59" s="176"/>
      <c r="AF59" s="176" t="e">
        <f>'[1]Omb Vårdavd AS'!L8</f>
        <v>#REF!</v>
      </c>
      <c r="AG59" s="176" t="e">
        <f>'[1]Omb Vårdavd AS'!M8</f>
        <v>#REF!</v>
      </c>
      <c r="AH59" s="176" t="e">
        <f>'[1]Omb Vårdavd AS'!N8</f>
        <v>#REF!</v>
      </c>
      <c r="AI59" s="176" t="e">
        <f>'[1]Omb Vårdavd AS'!O8+'[1]Omb Vårdavd AS'!L8</f>
        <v>#REF!</v>
      </c>
      <c r="AJ59" s="176" t="e">
        <f>'[1]Omb Vårdavd AS'!P8+'[1]Omb Vårdavd AS'!M8</f>
        <v>#REF!</v>
      </c>
      <c r="AK59" s="176" t="e">
        <f>'[1]Omb Vårdavd AS'!Q8+'[1]Omb Vårdavd AS'!N8</f>
        <v>#REF!</v>
      </c>
      <c r="AL59" s="176" t="e">
        <f>'[1]Omb Vårdavd AS'!R8+'[1]Omb Vårdavd AS'!O8</f>
        <v>#REF!</v>
      </c>
      <c r="AM59" s="62"/>
      <c r="AN59" s="64"/>
      <c r="AO59" s="171"/>
      <c r="AP59" s="171"/>
      <c r="AQ59" s="171" t="e">
        <f>-'[1]Omb Vårdavd AS'!L22</f>
        <v>#REF!</v>
      </c>
      <c r="AR59" s="171" t="e">
        <f>-'[1]Omb Vårdavd AS'!M22</f>
        <v>#REF!</v>
      </c>
      <c r="AS59" s="171" t="e">
        <f>-'[1]Omb Vårdavd AS'!N22</f>
        <v>#REF!</v>
      </c>
      <c r="AT59" s="171" t="e">
        <f>-'[1]Omb Vårdavd AS'!O22-'[1]Omb Vårdavd AS'!L22</f>
        <v>#REF!</v>
      </c>
      <c r="AU59" s="171" t="e">
        <f>-'[1]Omb Vårdavd AS'!P22-'[1]Omb Vårdavd AS'!M22</f>
        <v>#REF!</v>
      </c>
      <c r="AV59" s="171" t="e">
        <f>-'[1]Omb Vårdavd AS'!Q22-'[1]Omb Vårdavd AS'!N22</f>
        <v>#REF!</v>
      </c>
      <c r="AW59" s="171" t="e">
        <f>-'[1]Omb Vårdavd AS'!R22-'[1]Omb Vårdavd AS'!O22</f>
        <v>#REF!</v>
      </c>
      <c r="AX59" s="65"/>
      <c r="AY59" s="65"/>
      <c r="AZ59" s="65"/>
      <c r="BA59" s="65"/>
      <c r="BB59" s="65"/>
      <c r="BC59" s="65"/>
      <c r="BD59" s="65"/>
      <c r="BE59" s="65"/>
      <c r="BF59" s="65"/>
      <c r="BG59" s="65"/>
      <c r="BH59" s="65"/>
      <c r="BI59" s="158"/>
      <c r="BJ59" s="158"/>
    </row>
    <row r="60" spans="1:65" s="126" customFormat="1" ht="197" outlineLevel="1" x14ac:dyDescent="0.2">
      <c r="A60" s="113">
        <v>2</v>
      </c>
      <c r="B60" s="168" t="s">
        <v>167</v>
      </c>
      <c r="C60" s="168" t="s">
        <v>204</v>
      </c>
      <c r="D60" s="177"/>
      <c r="E60" s="168" t="s">
        <v>205</v>
      </c>
      <c r="F60" s="168">
        <v>1</v>
      </c>
      <c r="G60" s="169" t="s">
        <v>206</v>
      </c>
      <c r="H60" s="170" t="s">
        <v>199</v>
      </c>
      <c r="I60" s="60" t="s">
        <v>200</v>
      </c>
      <c r="J60" s="60"/>
      <c r="K60" s="60"/>
      <c r="L60" s="60"/>
      <c r="M60" s="108"/>
      <c r="N60" s="108"/>
      <c r="O60" s="172">
        <f t="shared" si="55"/>
        <v>0</v>
      </c>
      <c r="P60" s="108"/>
      <c r="Q60" s="108"/>
      <c r="R60" s="108"/>
      <c r="S60" s="108"/>
      <c r="T60" s="108"/>
      <c r="U60" s="108"/>
      <c r="V60" s="108"/>
      <c r="W60" s="146">
        <f t="shared" si="56"/>
        <v>0</v>
      </c>
      <c r="X60" s="174">
        <f t="shared" si="57"/>
        <v>0</v>
      </c>
      <c r="Y60" s="175"/>
      <c r="Z60" s="175" t="s">
        <v>202</v>
      </c>
      <c r="AA60" s="175"/>
      <c r="AB60" s="62"/>
      <c r="AC60" s="63"/>
      <c r="AD60" s="63"/>
      <c r="AE60" s="63"/>
      <c r="AF60" s="63"/>
      <c r="AG60" s="63"/>
      <c r="AH60" s="63"/>
      <c r="AI60" s="63"/>
      <c r="AJ60" s="63"/>
      <c r="AK60" s="63"/>
      <c r="AL60" s="63"/>
      <c r="AM60" s="62"/>
      <c r="AN60" s="64"/>
      <c r="AO60" s="64"/>
      <c r="AP60" s="64"/>
      <c r="AQ60" s="64"/>
      <c r="AR60" s="64"/>
      <c r="AS60" s="64"/>
      <c r="AT60" s="64"/>
      <c r="AU60" s="64"/>
      <c r="AV60" s="64"/>
      <c r="AW60" s="64"/>
      <c r="AX60" s="65"/>
      <c r="AY60" s="65"/>
      <c r="AZ60" s="65"/>
      <c r="BA60" s="65"/>
      <c r="BB60" s="65"/>
      <c r="BC60" s="65"/>
      <c r="BD60" s="65"/>
      <c r="BE60" s="65"/>
      <c r="BF60" s="65"/>
      <c r="BG60" s="65"/>
      <c r="BH60" s="65"/>
      <c r="BI60" s="158"/>
      <c r="BJ60" s="158"/>
    </row>
    <row r="61" spans="1:65" s="126" customFormat="1" ht="48" outlineLevel="1" x14ac:dyDescent="0.2">
      <c r="A61" s="113">
        <v>3</v>
      </c>
      <c r="B61" s="178" t="s">
        <v>167</v>
      </c>
      <c r="C61" s="178" t="s">
        <v>207</v>
      </c>
      <c r="D61" s="178" t="s">
        <v>208</v>
      </c>
      <c r="E61" s="178" t="s">
        <v>209</v>
      </c>
      <c r="F61" s="147">
        <v>1</v>
      </c>
      <c r="G61" s="179" t="s">
        <v>210</v>
      </c>
      <c r="H61" s="168" t="s">
        <v>199</v>
      </c>
      <c r="I61" s="108" t="s">
        <v>200</v>
      </c>
      <c r="J61" s="108">
        <v>0</v>
      </c>
      <c r="K61" s="108"/>
      <c r="L61" s="108"/>
      <c r="M61" s="108"/>
      <c r="N61" s="108"/>
      <c r="O61" s="172">
        <f t="shared" si="55"/>
        <v>0</v>
      </c>
      <c r="P61" s="180">
        <v>0</v>
      </c>
      <c r="Q61" s="180">
        <v>0</v>
      </c>
      <c r="R61" s="60"/>
      <c r="S61" s="180">
        <v>20000</v>
      </c>
      <c r="T61" s="180">
        <v>30000</v>
      </c>
      <c r="U61" s="60"/>
      <c r="V61" s="60"/>
      <c r="W61" s="146">
        <f t="shared" si="56"/>
        <v>50000</v>
      </c>
      <c r="X61" s="174">
        <f t="shared" si="57"/>
        <v>50000</v>
      </c>
      <c r="Y61" s="175"/>
      <c r="Z61" s="175" t="s">
        <v>202</v>
      </c>
      <c r="AA61" s="175" t="s">
        <v>203</v>
      </c>
      <c r="AB61" s="62"/>
      <c r="AC61" s="63"/>
      <c r="AD61" s="63"/>
      <c r="AE61" s="63"/>
      <c r="AF61" s="63"/>
      <c r="AG61" s="63"/>
      <c r="AH61" s="63"/>
      <c r="AI61" s="63"/>
      <c r="AJ61" s="180"/>
      <c r="AK61" s="180" t="e">
        <f>'[1]Omb 30D återst vårdavd'!L8</f>
        <v>#REF!</v>
      </c>
      <c r="AL61" s="180" t="e">
        <f>'[1]Omb 30D återst vårdavd'!M8</f>
        <v>#REF!</v>
      </c>
      <c r="AM61" s="63"/>
      <c r="AN61" s="64"/>
      <c r="AO61" s="64"/>
      <c r="AP61" s="64"/>
      <c r="AQ61" s="64"/>
      <c r="AR61" s="64"/>
      <c r="AS61" s="181"/>
      <c r="AT61" s="181"/>
      <c r="AU61" s="180"/>
      <c r="AV61" s="182" t="e">
        <f>-'[1]Omb 30D återst vårdavd'!L22</f>
        <v>#REF!</v>
      </c>
      <c r="AW61" s="182" t="e">
        <f>-'[1]Omb 30D återst vårdavd'!M22</f>
        <v>#REF!</v>
      </c>
      <c r="AX61" s="65"/>
      <c r="AY61" s="65"/>
      <c r="AZ61" s="65"/>
      <c r="BA61" s="65"/>
      <c r="BB61" s="65"/>
      <c r="BC61" s="65"/>
      <c r="BD61" s="65"/>
      <c r="BE61" s="65"/>
      <c r="BF61" s="65"/>
      <c r="BG61" s="65"/>
      <c r="BH61" s="65"/>
      <c r="BI61" s="158"/>
      <c r="BJ61" s="158"/>
    </row>
    <row r="62" spans="1:65" s="126" customFormat="1" ht="32" outlineLevel="1" x14ac:dyDescent="0.2">
      <c r="A62" s="113">
        <v>4</v>
      </c>
      <c r="B62" s="183" t="s">
        <v>167</v>
      </c>
      <c r="C62" s="183" t="s">
        <v>211</v>
      </c>
      <c r="D62" s="184" t="s">
        <v>212</v>
      </c>
      <c r="E62" s="183" t="s">
        <v>213</v>
      </c>
      <c r="F62" s="147">
        <v>1</v>
      </c>
      <c r="G62" s="179" t="s">
        <v>214</v>
      </c>
      <c r="H62" s="168" t="s">
        <v>199</v>
      </c>
      <c r="I62" s="168" t="s">
        <v>200</v>
      </c>
      <c r="J62" s="147">
        <v>950</v>
      </c>
      <c r="K62" s="108"/>
      <c r="L62" s="108"/>
      <c r="M62" s="108"/>
      <c r="N62" s="108"/>
      <c r="O62" s="172">
        <f t="shared" si="55"/>
        <v>0</v>
      </c>
      <c r="P62" s="185">
        <v>5000</v>
      </c>
      <c r="Q62" s="185">
        <f>20000</f>
        <v>20000</v>
      </c>
      <c r="R62" s="185">
        <v>50000</v>
      </c>
      <c r="S62" s="185">
        <v>25000</v>
      </c>
      <c r="T62" s="108"/>
      <c r="U62" s="108"/>
      <c r="V62" s="108"/>
      <c r="W62" s="146">
        <f t="shared" si="56"/>
        <v>100000</v>
      </c>
      <c r="X62" s="174">
        <f t="shared" si="57"/>
        <v>100000</v>
      </c>
      <c r="Y62" s="175"/>
      <c r="Z62" s="175" t="s">
        <v>215</v>
      </c>
      <c r="AA62" s="175" t="s">
        <v>216</v>
      </c>
      <c r="AB62" s="62"/>
      <c r="AC62" s="63"/>
      <c r="AD62" s="63"/>
      <c r="AE62" s="63"/>
      <c r="AF62" s="63"/>
      <c r="AG62" s="63"/>
      <c r="AH62" s="63"/>
      <c r="AI62" s="185" t="e">
        <f>'[1]3 nya Arytmilab'!L8</f>
        <v>#REF!</v>
      </c>
      <c r="AJ62" s="185" t="e">
        <f>'[1]3 nya Arytmilab'!M8</f>
        <v>#REF!</v>
      </c>
      <c r="AK62" s="185" t="e">
        <f>'[1]3 nya Arytmilab'!N8</f>
        <v>#REF!</v>
      </c>
      <c r="AL62" s="185" t="e">
        <f>'[1]3 nya Arytmilab'!O8</f>
        <v>#REF!</v>
      </c>
      <c r="AM62" s="62"/>
      <c r="AN62" s="64"/>
      <c r="AO62" s="64"/>
      <c r="AP62" s="64"/>
      <c r="AQ62" s="64"/>
      <c r="AR62" s="64"/>
      <c r="AS62" s="64"/>
      <c r="AT62" s="185" t="e">
        <f>-'[1]3 nya Arytmilab'!L22</f>
        <v>#REF!</v>
      </c>
      <c r="AU62" s="185" t="e">
        <f>-'[1]3 nya Arytmilab'!M22</f>
        <v>#REF!</v>
      </c>
      <c r="AV62" s="185" t="e">
        <f>-'[1]3 nya Arytmilab'!N22</f>
        <v>#REF!</v>
      </c>
      <c r="AW62" s="185" t="e">
        <f>-'[1]3 nya Arytmilab'!O22</f>
        <v>#REF!</v>
      </c>
      <c r="AX62" s="65"/>
      <c r="AY62" s="65"/>
      <c r="AZ62" s="65"/>
      <c r="BA62" s="65"/>
      <c r="BB62" s="65"/>
      <c r="BC62" s="65"/>
      <c r="BD62" s="65"/>
      <c r="BE62" s="65"/>
      <c r="BF62" s="65"/>
      <c r="BG62" s="65"/>
      <c r="BH62" s="65"/>
      <c r="BI62" s="158"/>
      <c r="BJ62" s="158"/>
    </row>
    <row r="63" spans="1:65" s="67" customFormat="1" ht="48" outlineLevel="1" x14ac:dyDescent="0.2">
      <c r="A63" s="113">
        <v>5</v>
      </c>
      <c r="B63" s="186" t="s">
        <v>167</v>
      </c>
      <c r="C63" s="186" t="s">
        <v>217</v>
      </c>
      <c r="D63" s="187">
        <v>8041668</v>
      </c>
      <c r="E63" s="186" t="s">
        <v>218</v>
      </c>
      <c r="F63" s="168">
        <v>1</v>
      </c>
      <c r="G63" s="169" t="s">
        <v>219</v>
      </c>
      <c r="H63" s="170" t="s">
        <v>199</v>
      </c>
      <c r="I63" s="168" t="s">
        <v>200</v>
      </c>
      <c r="J63" s="147">
        <v>2700</v>
      </c>
      <c r="K63" s="108">
        <v>642</v>
      </c>
      <c r="L63" s="180">
        <v>0</v>
      </c>
      <c r="M63" s="180">
        <v>0</v>
      </c>
      <c r="N63" s="180">
        <v>0</v>
      </c>
      <c r="O63" s="172">
        <f t="shared" si="55"/>
        <v>0</v>
      </c>
      <c r="P63" s="180">
        <v>0</v>
      </c>
      <c r="Q63" s="60"/>
      <c r="R63" s="60"/>
      <c r="S63" s="180">
        <f>4500-42</f>
        <v>4458</v>
      </c>
      <c r="T63" s="180">
        <f>10000+30000</f>
        <v>40000</v>
      </c>
      <c r="U63" s="180">
        <f>110000+12000-50000</f>
        <v>72000</v>
      </c>
      <c r="V63" s="180">
        <v>145000</v>
      </c>
      <c r="W63" s="146">
        <f t="shared" si="56"/>
        <v>261458</v>
      </c>
      <c r="X63" s="174">
        <f>K63+L63+M63+N63+P63+Q63+R63+S63+T63+U63+V63</f>
        <v>262100</v>
      </c>
      <c r="Y63" s="175" t="s">
        <v>220</v>
      </c>
      <c r="Z63" s="175" t="s">
        <v>202</v>
      </c>
      <c r="AA63" s="175" t="s">
        <v>221</v>
      </c>
      <c r="AB63" s="62"/>
      <c r="AC63" s="63"/>
      <c r="AD63" s="63"/>
      <c r="AE63" s="63"/>
      <c r="AF63" s="63"/>
      <c r="AG63" s="180">
        <v>0</v>
      </c>
      <c r="AH63" s="180">
        <v>0</v>
      </c>
      <c r="AI63" s="180">
        <v>0</v>
      </c>
      <c r="AJ63" s="180">
        <v>0</v>
      </c>
      <c r="AK63" s="180">
        <v>0</v>
      </c>
      <c r="AL63" s="180">
        <v>0</v>
      </c>
      <c r="AM63" s="62"/>
      <c r="AN63" s="64"/>
      <c r="AO63" s="64"/>
      <c r="AP63" s="64"/>
      <c r="AQ63" s="64"/>
      <c r="AR63" s="180">
        <v>0</v>
      </c>
      <c r="AS63" s="180">
        <v>0</v>
      </c>
      <c r="AT63" s="180">
        <v>0</v>
      </c>
      <c r="AU63" s="180">
        <v>0</v>
      </c>
      <c r="AV63" s="180">
        <v>0</v>
      </c>
      <c r="AW63" s="180">
        <v>0</v>
      </c>
      <c r="AX63" s="65"/>
      <c r="AY63" s="65"/>
      <c r="AZ63" s="65"/>
      <c r="BA63" s="65"/>
      <c r="BB63" s="65"/>
      <c r="BC63" s="65"/>
      <c r="BD63" s="65"/>
      <c r="BE63" s="65"/>
      <c r="BF63" s="65"/>
      <c r="BG63" s="65"/>
      <c r="BH63" s="65">
        <v>5000</v>
      </c>
      <c r="BI63" s="3"/>
      <c r="BJ63" s="3"/>
    </row>
    <row r="64" spans="1:65" s="67" customFormat="1" ht="80" outlineLevel="1" x14ac:dyDescent="0.2">
      <c r="A64" s="113">
        <v>6</v>
      </c>
      <c r="B64" s="168" t="s">
        <v>167</v>
      </c>
      <c r="C64" s="168" t="s">
        <v>222</v>
      </c>
      <c r="D64" s="188"/>
      <c r="E64" s="168" t="s">
        <v>223</v>
      </c>
      <c r="F64" s="168">
        <v>0</v>
      </c>
      <c r="G64" s="169" t="s">
        <v>224</v>
      </c>
      <c r="H64" s="170" t="s">
        <v>199</v>
      </c>
      <c r="I64" s="168" t="s">
        <v>200</v>
      </c>
      <c r="J64" s="147">
        <v>0</v>
      </c>
      <c r="K64" s="108">
        <v>5000</v>
      </c>
      <c r="L64" s="108">
        <v>5000</v>
      </c>
      <c r="M64" s="108">
        <v>5000</v>
      </c>
      <c r="N64" s="108">
        <v>5000</v>
      </c>
      <c r="O64" s="172">
        <f t="shared" si="55"/>
        <v>15000</v>
      </c>
      <c r="P64" s="108">
        <v>5000</v>
      </c>
      <c r="Q64" s="108">
        <v>5000</v>
      </c>
      <c r="R64" s="108">
        <v>5000</v>
      </c>
      <c r="S64" s="108">
        <v>5000</v>
      </c>
      <c r="T64" s="108">
        <v>5000</v>
      </c>
      <c r="U64" s="108">
        <v>5000</v>
      </c>
      <c r="V64" s="108"/>
      <c r="W64" s="146">
        <f t="shared" si="56"/>
        <v>45000</v>
      </c>
      <c r="X64" s="174">
        <f t="shared" si="57"/>
        <v>50000</v>
      </c>
      <c r="Y64" s="175"/>
      <c r="Z64" s="175" t="s">
        <v>225</v>
      </c>
      <c r="AA64" s="175" t="s">
        <v>226</v>
      </c>
      <c r="AB64" s="62"/>
      <c r="AC64" s="63" t="e">
        <f>'[1]omb i samband med utr 2018'!L8</f>
        <v>#REF!</v>
      </c>
      <c r="AD64" s="63" t="e">
        <f>'[1]omb i samband med utr 2018'!M8+'[1]omb i samband med utr 2018'!L8</f>
        <v>#REF!</v>
      </c>
      <c r="AE64" s="63" t="e">
        <f>'[1]omb i samband med utr 2018'!N8+'[1]omb i samband med utr 2018'!M8+'[1]omb i samband med utr 2018'!L8</f>
        <v>#REF!</v>
      </c>
      <c r="AF64" s="63" t="e">
        <f>'[1]omb i samband med utr 2018'!O8+'[1]omb i samband med utr 2018'!N8+'[1]omb i samband med utr 2018'!M8+'[1]omb i samband med utr 2018'!L8</f>
        <v>#REF!</v>
      </c>
      <c r="AG64" s="63" t="e">
        <f>'[1]omb i samband med utr 2018'!P8+'[1]omb i samband med utr 2018'!O8+'[1]omb i samband med utr 2018'!N8+'[1]omb i samband med utr 2018'!M8+'[1]omb i samband med utr 2018'!L8</f>
        <v>#REF!</v>
      </c>
      <c r="AH64" s="63" t="e">
        <f>'[1]omb i samband med utr 2018'!Q8+'[1]omb i samband med utr 2018'!P8+'[1]omb i samband med utr 2018'!O8+'[1]omb i samband med utr 2018'!N8+'[1]omb i samband med utr 2018'!M8+'[1]omb i samband med utr 2018'!M8</f>
        <v>#REF!</v>
      </c>
      <c r="AI64" s="63" t="e">
        <f>'[1]omb i samband med utr 2018'!R8+'[1]omb i samband med utr 2018'!Q8+'[1]omb i samband med utr 2018'!P8+'[1]omb i samband med utr 2018'!O8+'[1]omb i samband med utr 2018'!N8+'[1]omb i samband med utr 2018'!N8+'[1]omb i samband med utr 2018'!M8</f>
        <v>#REF!</v>
      </c>
      <c r="AJ64" s="63" t="e">
        <f>'[1]omb i samband med utr 2018'!S8+'[1]omb i samband med utr 2018'!R8+'[1]omb i samband med utr 2018'!Q8+'[1]omb i samband med utr 2018'!P8+'[1]omb i samband med utr 2018'!O8+'[1]omb i samband med utr 2018'!O8+'[1]omb i samband med utr 2018'!N8+'[1]omb i samband med utr 2018'!M8</f>
        <v>#REF!</v>
      </c>
      <c r="AK64" s="63" t="e">
        <f>'[1]omb i samband med utr 2018'!T8+'[1]omb i samband med utr 2018'!S8+'[1]omb i samband med utr 2018'!R8+'[1]omb i samband med utr 2018'!Q8+'[1]omb i samband med utr 2018'!P8+'[1]omb i samband med utr 2018'!P8+'[1]omb i samband med utr 2018'!O8+'[1]omb i samband med utr 2018'!N8+'[1]omb i samband med utr 2018'!M8</f>
        <v>#REF!</v>
      </c>
      <c r="AL64" s="63" t="e">
        <f>'[1]omb i samband med utr 2018'!U8+'[1]omb i samband med utr 2018'!T8+'[1]omb i samband med utr 2018'!S8+'[1]omb i samband med utr 2018'!R8+'[1]omb i samband med utr 2018'!Q8+'[1]omb i samband med utr 2018'!Q8+'[1]omb i samband med utr 2018'!P8+'[1]omb i samband med utr 2018'!O8+'[1]omb i samband med utr 2018'!N8+'[1]omb i samband med utr 2018'!L8</f>
        <v>#REF!</v>
      </c>
      <c r="AM64" s="62"/>
      <c r="AN64" s="64" t="e">
        <f>-'[1]omb i samband med utr 2018'!L22</f>
        <v>#REF!</v>
      </c>
      <c r="AO64" s="64" t="e">
        <f>-'[1]omb i samband med utr 2018'!M22-'[1]omb i samband med utr 2018'!L22</f>
        <v>#REF!</v>
      </c>
      <c r="AP64" s="64" t="e">
        <f>-'[1]omb i samband med utr 2018'!N22-'[1]omb i samband med utr 2018'!M22-'[1]omb i samband med utr 2018'!L22</f>
        <v>#REF!</v>
      </c>
      <c r="AQ64" s="64" t="e">
        <f>-'[1]omb i samband med utr 2018'!O22-'[1]omb i samband med utr 2018'!N22-'[1]omb i samband med utr 2018'!M22-'[1]omb i samband med utr 2018'!L22</f>
        <v>#REF!</v>
      </c>
      <c r="AR64" s="64" t="e">
        <f>-'[1]omb i samband med utr 2018'!P22-'[1]omb i samband med utr 2018'!O22-'[1]omb i samband med utr 2018'!N22-'[1]omb i samband med utr 2018'!M22-'[1]omb i samband med utr 2018'!L22</f>
        <v>#REF!</v>
      </c>
      <c r="AS64" s="64" t="e">
        <f>-'[1]omb i samband med utr 2018'!Q22-'[1]omb i samband med utr 2018'!P22-'[1]omb i samband med utr 2018'!O22-'[1]omb i samband med utr 2018'!N22-'[1]omb i samband med utr 2018'!M22-'[1]omb i samband med utr 2018'!L22</f>
        <v>#REF!</v>
      </c>
      <c r="AT64" s="64" t="e">
        <f>-'[1]omb i samband med utr 2018'!R22-'[1]omb i samband med utr 2018'!Q22-'[1]omb i samband med utr 2018'!P22-'[1]omb i samband med utr 2018'!O22-'[1]omb i samband med utr 2018'!N22-'[1]omb i samband med utr 2018'!M22-'[1]omb i samband med utr 2018'!L22</f>
        <v>#REF!</v>
      </c>
      <c r="AU64" s="64" t="e">
        <f>-'[1]omb i samband med utr 2018'!S22-'[1]omb i samband med utr 2018'!R22-'[1]omb i samband med utr 2018'!Q22-'[1]omb i samband med utr 2018'!P22-'[1]omb i samband med utr 2018'!O22-'[1]omb i samband med utr 2018'!N22-'[1]omb i samband med utr 2018'!M22-'[1]omb i samband med utr 2018'!L22</f>
        <v>#REF!</v>
      </c>
      <c r="AV64" s="64" t="e">
        <f>-'[1]omb i samband med utr 2018'!T22-'[1]omb i samband med utr 2018'!S22-'[1]omb i samband med utr 2018'!R22-'[1]omb i samband med utr 2018'!Q22-'[1]omb i samband med utr 2018'!P22-'[1]omb i samband med utr 2018'!O22-'[1]omb i samband med utr 2018'!N22-'[1]omb i samband med utr 2018'!M22-'[1]omb i samband med utr 2018'!L22</f>
        <v>#REF!</v>
      </c>
      <c r="AW64" s="64" t="e">
        <f>-'[1]omb i samband med utr 2018'!U22-'[1]omb i samband med utr 2018'!T22-'[1]omb i samband med utr 2018'!S22-'[1]omb i samband med utr 2018'!R22-'[1]omb i samband med utr 2018'!Q22-'[1]omb i samband med utr 2018'!P22-'[1]omb i samband med utr 2018'!O22-'[1]omb i samband med utr 2018'!N22-'[1]omb i samband med utr 2018'!M22-'[1]omb i samband med utr 2018'!L22</f>
        <v>#REF!</v>
      </c>
      <c r="AX64" s="65"/>
      <c r="AY64" s="65"/>
      <c r="AZ64" s="65"/>
      <c r="BA64" s="65"/>
      <c r="BB64" s="65"/>
      <c r="BC64" s="65"/>
      <c r="BD64" s="65"/>
      <c r="BE64" s="65"/>
      <c r="BF64" s="65"/>
      <c r="BG64" s="65"/>
      <c r="BH64" s="65"/>
      <c r="BI64" s="3"/>
      <c r="BJ64" s="3"/>
    </row>
    <row r="65" spans="1:62" s="126" customFormat="1" ht="48" outlineLevel="1" x14ac:dyDescent="0.2">
      <c r="A65" s="113">
        <v>7</v>
      </c>
      <c r="B65" s="186" t="s">
        <v>167</v>
      </c>
      <c r="C65" s="186" t="s">
        <v>227</v>
      </c>
      <c r="D65" s="187"/>
      <c r="E65" s="186" t="s">
        <v>228</v>
      </c>
      <c r="F65" s="168">
        <v>3</v>
      </c>
      <c r="G65" s="169" t="s">
        <v>229</v>
      </c>
      <c r="H65" s="170" t="s">
        <v>230</v>
      </c>
      <c r="I65" s="168" t="s">
        <v>200</v>
      </c>
      <c r="J65" s="147">
        <v>0</v>
      </c>
      <c r="K65" s="108"/>
      <c r="L65" s="108"/>
      <c r="M65" s="108"/>
      <c r="N65" s="108"/>
      <c r="O65" s="172">
        <f t="shared" si="55"/>
        <v>0</v>
      </c>
      <c r="P65" s="108"/>
      <c r="Q65" s="108"/>
      <c r="R65" s="180">
        <v>0</v>
      </c>
      <c r="S65" s="180">
        <v>10000</v>
      </c>
      <c r="T65" s="180">
        <v>50000</v>
      </c>
      <c r="U65" s="180">
        <v>50000</v>
      </c>
      <c r="V65" s="108"/>
      <c r="W65" s="146">
        <f t="shared" si="56"/>
        <v>110000</v>
      </c>
      <c r="X65" s="189">
        <f t="shared" si="57"/>
        <v>110000</v>
      </c>
      <c r="Y65" s="175"/>
      <c r="Z65" s="175" t="s">
        <v>202</v>
      </c>
      <c r="AA65" s="175" t="s">
        <v>231</v>
      </c>
      <c r="AB65" s="62"/>
      <c r="AC65" s="63"/>
      <c r="AD65" s="63"/>
      <c r="AE65" s="63"/>
      <c r="AF65" s="63"/>
      <c r="AG65" s="63"/>
      <c r="AH65" s="63"/>
      <c r="AI65" s="63"/>
      <c r="AJ65" s="63"/>
      <c r="AK65" s="181">
        <v>0</v>
      </c>
      <c r="AL65" s="180" t="e">
        <f>'[1]30-50 husen reinvest'!L8</f>
        <v>#REF!</v>
      </c>
      <c r="AM65" s="62"/>
      <c r="AN65" s="64"/>
      <c r="AO65" s="64"/>
      <c r="AP65" s="64"/>
      <c r="AQ65" s="64"/>
      <c r="AR65" s="64"/>
      <c r="AS65" s="64"/>
      <c r="AT65" s="64"/>
      <c r="AU65" s="64"/>
      <c r="AV65" s="181">
        <v>0</v>
      </c>
      <c r="AW65" s="180" t="e">
        <f>-'[1]30-50 husen reinvest'!L22</f>
        <v>#REF!</v>
      </c>
      <c r="AX65" s="65"/>
      <c r="AY65" s="65"/>
      <c r="AZ65" s="65"/>
      <c r="BA65" s="65"/>
      <c r="BB65" s="65"/>
      <c r="BC65" s="65"/>
      <c r="BD65" s="65"/>
      <c r="BE65" s="65"/>
      <c r="BF65" s="65"/>
      <c r="BG65" s="65"/>
      <c r="BH65" s="65">
        <v>20000</v>
      </c>
      <c r="BI65" s="158"/>
      <c r="BJ65" s="158"/>
    </row>
    <row r="66" spans="1:62" s="126" customFormat="1" ht="32" outlineLevel="1" x14ac:dyDescent="0.2">
      <c r="A66" s="113">
        <v>8</v>
      </c>
      <c r="B66" s="186" t="s">
        <v>167</v>
      </c>
      <c r="C66" s="186" t="s">
        <v>232</v>
      </c>
      <c r="D66" s="187"/>
      <c r="E66" s="186" t="s">
        <v>233</v>
      </c>
      <c r="F66" s="168">
        <v>3</v>
      </c>
      <c r="G66" s="169" t="s">
        <v>234</v>
      </c>
      <c r="H66" s="170" t="s">
        <v>199</v>
      </c>
      <c r="I66" s="168" t="s">
        <v>200</v>
      </c>
      <c r="J66" s="147">
        <v>0</v>
      </c>
      <c r="K66" s="108"/>
      <c r="L66" s="108"/>
      <c r="M66" s="108"/>
      <c r="N66" s="180">
        <v>0</v>
      </c>
      <c r="O66" s="172">
        <f>L66+M66+N66</f>
        <v>0</v>
      </c>
      <c r="P66" s="108"/>
      <c r="Q66" s="108"/>
      <c r="R66" s="108"/>
      <c r="S66" s="180">
        <v>10000</v>
      </c>
      <c r="T66" s="108"/>
      <c r="U66" s="108"/>
      <c r="V66" s="108"/>
      <c r="W66" s="146">
        <f>O66+P66+Q66+R66+S66+T66+U66+V66</f>
        <v>10000</v>
      </c>
      <c r="X66" s="189">
        <f>K66+L66+M66+N66+P66+Q66+R66+S66+T66+U66+V66</f>
        <v>10000</v>
      </c>
      <c r="Y66" s="175"/>
      <c r="Z66" s="175" t="s">
        <v>202</v>
      </c>
      <c r="AA66" s="175" t="s">
        <v>231</v>
      </c>
      <c r="AB66" s="62"/>
      <c r="AC66" s="63"/>
      <c r="AD66" s="63"/>
      <c r="AE66" s="63"/>
      <c r="AF66" s="181"/>
      <c r="AG66" s="181"/>
      <c r="AH66" s="181"/>
      <c r="AI66" s="180"/>
      <c r="AJ66" s="180" t="e">
        <f>'[1]Gränby ambulansstation'!L8</f>
        <v>#REF!</v>
      </c>
      <c r="AK66" s="180" t="e">
        <f>'[1]Gränby ambulansstation'!M8</f>
        <v>#REF!</v>
      </c>
      <c r="AL66" s="180" t="e">
        <f>'[1]Gränby ambulansstation'!N8</f>
        <v>#REF!</v>
      </c>
      <c r="AM66" s="62"/>
      <c r="AN66" s="64"/>
      <c r="AO66" s="64"/>
      <c r="AP66" s="181"/>
      <c r="AQ66" s="181"/>
      <c r="AR66" s="181"/>
      <c r="AS66" s="181"/>
      <c r="AT66" s="180"/>
      <c r="AU66" s="180" t="e">
        <f>-'[1]Gränby ambulansstation'!L22</f>
        <v>#REF!</v>
      </c>
      <c r="AV66" s="180" t="e">
        <f>-'[1]Gränby ambulansstation'!M22</f>
        <v>#REF!</v>
      </c>
      <c r="AW66" s="180" t="e">
        <f>-'[1]Gränby ambulansstation'!N22</f>
        <v>#REF!</v>
      </c>
      <c r="AX66" s="65"/>
      <c r="AY66" s="65"/>
      <c r="AZ66" s="65"/>
      <c r="BA66" s="65"/>
      <c r="BB66" s="65"/>
      <c r="BC66" s="65"/>
      <c r="BD66" s="65"/>
      <c r="BE66" s="65"/>
      <c r="BF66" s="65"/>
      <c r="BG66" s="65"/>
      <c r="BH66" s="65"/>
      <c r="BI66" s="158"/>
      <c r="BJ66" s="158"/>
    </row>
    <row r="67" spans="1:62" s="126" customFormat="1" ht="16" hidden="1" outlineLevel="1" x14ac:dyDescent="0.2">
      <c r="A67" s="113"/>
      <c r="B67" s="168"/>
      <c r="C67" s="168"/>
      <c r="D67" s="177"/>
      <c r="E67" s="168"/>
      <c r="F67" s="168"/>
      <c r="G67" s="169"/>
      <c r="H67" s="170"/>
      <c r="I67" s="170"/>
      <c r="J67" s="175"/>
      <c r="K67" s="108"/>
      <c r="L67" s="108"/>
      <c r="M67" s="108"/>
      <c r="N67" s="108"/>
      <c r="O67" s="172">
        <f>L67+M67+N67</f>
        <v>0</v>
      </c>
      <c r="P67" s="108"/>
      <c r="Q67" s="108"/>
      <c r="R67" s="108"/>
      <c r="S67" s="108"/>
      <c r="T67" s="108"/>
      <c r="U67" s="108"/>
      <c r="V67" s="108"/>
      <c r="W67" s="146">
        <f>O67+P67+Q67+R67+S67+T67+U67+V67</f>
        <v>0</v>
      </c>
      <c r="X67" s="189">
        <f>K67+L67+M67+N67+P67+Q67+R67+S67+T67+U67+V67</f>
        <v>0</v>
      </c>
      <c r="Y67" s="175"/>
      <c r="Z67" s="175"/>
      <c r="AA67" s="175"/>
      <c r="AB67" s="62"/>
      <c r="AC67" s="63"/>
      <c r="AD67" s="63"/>
      <c r="AE67" s="63"/>
      <c r="AF67" s="63"/>
      <c r="AG67" s="63"/>
      <c r="AH67" s="63"/>
      <c r="AI67" s="63"/>
      <c r="AJ67" s="63"/>
      <c r="AK67" s="63"/>
      <c r="AL67" s="63"/>
      <c r="AM67" s="62"/>
      <c r="AN67" s="64"/>
      <c r="AO67" s="64"/>
      <c r="AP67" s="64"/>
      <c r="AQ67" s="64"/>
      <c r="AR67" s="64"/>
      <c r="AS67" s="64"/>
      <c r="AT67" s="64"/>
      <c r="AU67" s="64"/>
      <c r="AV67" s="64"/>
      <c r="AW67" s="64"/>
      <c r="AX67" s="65"/>
      <c r="AY67" s="65"/>
      <c r="AZ67" s="65"/>
      <c r="BA67" s="65"/>
      <c r="BB67" s="65"/>
      <c r="BC67" s="65"/>
      <c r="BD67" s="65"/>
      <c r="BE67" s="65"/>
      <c r="BF67" s="65"/>
      <c r="BG67" s="65"/>
      <c r="BH67" s="65"/>
      <c r="BI67" s="158"/>
      <c r="BJ67" s="158"/>
    </row>
    <row r="68" spans="1:62" s="126" customFormat="1" ht="91.5" hidden="1" customHeight="1" outlineLevel="1" x14ac:dyDescent="0.2">
      <c r="A68" s="113"/>
      <c r="B68" s="147"/>
      <c r="C68" s="147"/>
      <c r="D68" s="147"/>
      <c r="E68" s="147"/>
      <c r="F68" s="147"/>
      <c r="G68" s="179"/>
      <c r="H68" s="168"/>
      <c r="I68" s="168"/>
      <c r="J68" s="147"/>
      <c r="K68" s="108"/>
      <c r="L68" s="108"/>
      <c r="M68" s="108"/>
      <c r="N68" s="108"/>
      <c r="O68" s="172">
        <f t="shared" ref="O68:O74" si="58">L68+M68+N68</f>
        <v>0</v>
      </c>
      <c r="P68" s="108"/>
      <c r="Q68" s="108"/>
      <c r="R68" s="108"/>
      <c r="S68" s="108"/>
      <c r="T68" s="108"/>
      <c r="U68" s="108"/>
      <c r="V68" s="108"/>
      <c r="W68" s="146">
        <f t="shared" si="56"/>
        <v>0</v>
      </c>
      <c r="X68" s="189">
        <f t="shared" si="57"/>
        <v>0</v>
      </c>
      <c r="Y68" s="175"/>
      <c r="Z68" s="175"/>
      <c r="AA68" s="175"/>
      <c r="AB68" s="62"/>
      <c r="AC68" s="63"/>
      <c r="AD68" s="63"/>
      <c r="AE68" s="63"/>
      <c r="AF68" s="63"/>
      <c r="AG68" s="63"/>
      <c r="AH68" s="63"/>
      <c r="AI68" s="63"/>
      <c r="AJ68" s="63"/>
      <c r="AK68" s="63"/>
      <c r="AL68" s="63"/>
      <c r="AM68" s="62"/>
      <c r="AN68" s="64"/>
      <c r="AO68" s="64"/>
      <c r="AP68" s="64"/>
      <c r="AQ68" s="64"/>
      <c r="AR68" s="64"/>
      <c r="AS68" s="64"/>
      <c r="AT68" s="64"/>
      <c r="AU68" s="64"/>
      <c r="AV68" s="64"/>
      <c r="AW68" s="64"/>
      <c r="AX68" s="65"/>
      <c r="AY68" s="65"/>
      <c r="AZ68" s="65"/>
      <c r="BA68" s="65"/>
      <c r="BB68" s="65"/>
      <c r="BC68" s="65"/>
      <c r="BD68" s="65"/>
      <c r="BE68" s="65"/>
      <c r="BF68" s="65"/>
      <c r="BG68" s="65"/>
      <c r="BH68" s="65"/>
      <c r="BI68" s="158"/>
      <c r="BJ68" s="158"/>
    </row>
    <row r="69" spans="1:62" s="126" customFormat="1" ht="64" outlineLevel="1" x14ac:dyDescent="0.2">
      <c r="A69" s="113">
        <v>9</v>
      </c>
      <c r="B69" s="183" t="s">
        <v>167</v>
      </c>
      <c r="C69" s="183" t="s">
        <v>235</v>
      </c>
      <c r="D69" s="183" t="s">
        <v>208</v>
      </c>
      <c r="E69" s="183" t="s">
        <v>236</v>
      </c>
      <c r="F69" s="147">
        <v>4</v>
      </c>
      <c r="G69" s="179" t="s">
        <v>237</v>
      </c>
      <c r="H69" s="170" t="s">
        <v>199</v>
      </c>
      <c r="I69" s="168" t="s">
        <v>200</v>
      </c>
      <c r="J69" s="147">
        <v>0</v>
      </c>
      <c r="K69" s="108">
        <v>2500</v>
      </c>
      <c r="L69" s="185">
        <v>5000</v>
      </c>
      <c r="M69" s="185">
        <v>10000</v>
      </c>
      <c r="N69" s="185">
        <v>20000</v>
      </c>
      <c r="O69" s="172">
        <f t="shared" si="58"/>
        <v>35000</v>
      </c>
      <c r="P69" s="185">
        <v>20000</v>
      </c>
      <c r="Q69" s="60"/>
      <c r="R69" s="60"/>
      <c r="S69" s="185"/>
      <c r="T69" s="185"/>
      <c r="U69" s="185"/>
      <c r="V69" s="185"/>
      <c r="W69" s="146">
        <f t="shared" si="56"/>
        <v>55000</v>
      </c>
      <c r="X69" s="189">
        <f t="shared" si="57"/>
        <v>57500</v>
      </c>
      <c r="Y69" s="147"/>
      <c r="Z69" s="175" t="s">
        <v>202</v>
      </c>
      <c r="AA69" s="175" t="s">
        <v>231</v>
      </c>
      <c r="AB69" s="62"/>
      <c r="AC69" s="63"/>
      <c r="AD69" s="63"/>
      <c r="AE69" s="63"/>
      <c r="AF69" s="63"/>
      <c r="AG69" s="180" t="e">
        <f>'[1]ny luftbro och hissar F '!L8</f>
        <v>#REF!</v>
      </c>
      <c r="AH69" s="180" t="e">
        <f>'[1]ny luftbro och hissar F '!M8</f>
        <v>#REF!</v>
      </c>
      <c r="AI69" s="180" t="e">
        <f>'[1]ny luftbro och hissar F '!N8</f>
        <v>#REF!</v>
      </c>
      <c r="AJ69" s="180" t="e">
        <f>'[1]ny luftbro och hissar F '!O8</f>
        <v>#REF!</v>
      </c>
      <c r="AK69" s="180" t="e">
        <f>'[1]ny luftbro och hissar F '!P8</f>
        <v>#REF!</v>
      </c>
      <c r="AL69" s="180" t="e">
        <f>'[1]ny luftbro och hissar F '!Q8</f>
        <v>#REF!</v>
      </c>
      <c r="AM69" s="62"/>
      <c r="AN69" s="64"/>
      <c r="AO69" s="64"/>
      <c r="AP69" s="64"/>
      <c r="AQ69" s="64"/>
      <c r="AR69" s="190" t="e">
        <f>-'[1]ny luftbro och hissar F '!L22</f>
        <v>#REF!</v>
      </c>
      <c r="AS69" s="190" t="e">
        <f>-'[1]ny luftbro och hissar F '!M22</f>
        <v>#REF!</v>
      </c>
      <c r="AT69" s="190" t="e">
        <f>-'[1]ny luftbro och hissar F '!N22</f>
        <v>#REF!</v>
      </c>
      <c r="AU69" s="190" t="e">
        <f>-'[1]ny luftbro och hissar F '!O22</f>
        <v>#REF!</v>
      </c>
      <c r="AV69" s="190" t="e">
        <f>-'[1]ny luftbro och hissar F '!P22</f>
        <v>#REF!</v>
      </c>
      <c r="AW69" s="190" t="e">
        <f>-'[1]ny luftbro och hissar F '!Q22</f>
        <v>#REF!</v>
      </c>
      <c r="AX69" s="65"/>
      <c r="AY69" s="65"/>
      <c r="AZ69" s="65"/>
      <c r="BA69" s="65"/>
      <c r="BB69" s="65"/>
      <c r="BC69" s="65"/>
      <c r="BD69" s="65"/>
      <c r="BE69" s="65"/>
      <c r="BF69" s="65"/>
      <c r="BG69" s="65"/>
      <c r="BH69" s="65"/>
      <c r="BI69" s="158"/>
      <c r="BJ69" s="158"/>
    </row>
    <row r="70" spans="1:62" s="126" customFormat="1" ht="32" outlineLevel="1" x14ac:dyDescent="0.2">
      <c r="A70" s="113">
        <v>10</v>
      </c>
      <c r="B70" s="178" t="s">
        <v>167</v>
      </c>
      <c r="C70" s="178" t="s">
        <v>238</v>
      </c>
      <c r="D70" s="178" t="s">
        <v>208</v>
      </c>
      <c r="E70" s="178" t="s">
        <v>236</v>
      </c>
      <c r="F70" s="147">
        <v>4</v>
      </c>
      <c r="G70" s="179" t="s">
        <v>237</v>
      </c>
      <c r="H70" s="170" t="s">
        <v>199</v>
      </c>
      <c r="I70" s="168" t="s">
        <v>200</v>
      </c>
      <c r="J70" s="147">
        <v>0</v>
      </c>
      <c r="K70" s="108">
        <v>2000</v>
      </c>
      <c r="L70" s="180">
        <v>0</v>
      </c>
      <c r="M70" s="180">
        <v>0</v>
      </c>
      <c r="N70" s="180">
        <v>0</v>
      </c>
      <c r="O70" s="172">
        <f t="shared" si="58"/>
        <v>0</v>
      </c>
      <c r="P70" s="180">
        <v>0</v>
      </c>
      <c r="Q70" s="60"/>
      <c r="R70" s="60"/>
      <c r="S70" s="180">
        <v>4000</v>
      </c>
      <c r="T70" s="180">
        <v>10000</v>
      </c>
      <c r="U70" s="180">
        <v>20000</v>
      </c>
      <c r="V70" s="180">
        <v>10000</v>
      </c>
      <c r="W70" s="146">
        <f t="shared" si="56"/>
        <v>44000</v>
      </c>
      <c r="X70" s="189">
        <f t="shared" si="57"/>
        <v>46000</v>
      </c>
      <c r="Y70" s="147"/>
      <c r="Z70" s="175" t="s">
        <v>202</v>
      </c>
      <c r="AA70" s="175" t="s">
        <v>231</v>
      </c>
      <c r="AB70" s="62"/>
      <c r="AC70" s="63"/>
      <c r="AD70" s="63"/>
      <c r="AE70" s="63"/>
      <c r="AF70" s="63"/>
      <c r="AG70" s="180">
        <v>0</v>
      </c>
      <c r="AH70" s="180">
        <v>0</v>
      </c>
      <c r="AI70" s="180">
        <v>0</v>
      </c>
      <c r="AJ70" s="180">
        <v>0</v>
      </c>
      <c r="AK70" s="180">
        <v>0</v>
      </c>
      <c r="AL70" s="180">
        <v>0</v>
      </c>
      <c r="AM70" s="62"/>
      <c r="AN70" s="64"/>
      <c r="AO70" s="64"/>
      <c r="AP70" s="64"/>
      <c r="AQ70" s="64"/>
      <c r="AR70" s="180">
        <v>0</v>
      </c>
      <c r="AS70" s="180">
        <v>0</v>
      </c>
      <c r="AT70" s="180">
        <v>0</v>
      </c>
      <c r="AU70" s="180">
        <v>0</v>
      </c>
      <c r="AV70" s="180">
        <v>0</v>
      </c>
      <c r="AW70" s="180">
        <v>0</v>
      </c>
      <c r="AX70" s="65"/>
      <c r="AY70" s="65"/>
      <c r="AZ70" s="65"/>
      <c r="BA70" s="65"/>
      <c r="BB70" s="65"/>
      <c r="BC70" s="65"/>
      <c r="BD70" s="65"/>
      <c r="BE70" s="65"/>
      <c r="BF70" s="65"/>
      <c r="BG70" s="65"/>
      <c r="BH70" s="65"/>
      <c r="BI70" s="158"/>
      <c r="BJ70" s="158"/>
    </row>
    <row r="71" spans="1:62" s="126" customFormat="1" ht="32" outlineLevel="1" x14ac:dyDescent="0.2">
      <c r="A71" s="113">
        <v>11</v>
      </c>
      <c r="B71" s="178" t="s">
        <v>167</v>
      </c>
      <c r="C71" s="178" t="s">
        <v>239</v>
      </c>
      <c r="D71" s="178" t="s">
        <v>208</v>
      </c>
      <c r="E71" s="178" t="s">
        <v>240</v>
      </c>
      <c r="F71" s="147">
        <v>4</v>
      </c>
      <c r="G71" s="179" t="s">
        <v>237</v>
      </c>
      <c r="H71" s="170" t="s">
        <v>199</v>
      </c>
      <c r="I71" s="168" t="s">
        <v>200</v>
      </c>
      <c r="J71" s="147">
        <v>0</v>
      </c>
      <c r="K71" s="108"/>
      <c r="L71" s="180">
        <v>0</v>
      </c>
      <c r="M71" s="108"/>
      <c r="N71" s="108"/>
      <c r="O71" s="172">
        <f t="shared" si="58"/>
        <v>0</v>
      </c>
      <c r="P71" s="108"/>
      <c r="Q71" s="60"/>
      <c r="R71" s="60"/>
      <c r="S71" s="180">
        <v>2500</v>
      </c>
      <c r="T71" s="60"/>
      <c r="U71" s="60"/>
      <c r="V71" s="60"/>
      <c r="W71" s="146">
        <f t="shared" si="56"/>
        <v>2500</v>
      </c>
      <c r="X71" s="189">
        <f t="shared" si="57"/>
        <v>2500</v>
      </c>
      <c r="Y71" s="147"/>
      <c r="Z71" s="175" t="s">
        <v>202</v>
      </c>
      <c r="AA71" s="175" t="s">
        <v>231</v>
      </c>
      <c r="AB71" s="62"/>
      <c r="AC71" s="180">
        <v>0</v>
      </c>
      <c r="AD71" s="180">
        <v>0</v>
      </c>
      <c r="AE71" s="180">
        <v>0</v>
      </c>
      <c r="AF71" s="180">
        <v>0</v>
      </c>
      <c r="AG71" s="180">
        <v>0</v>
      </c>
      <c r="AH71" s="180">
        <v>0</v>
      </c>
      <c r="AI71" s="180" t="e">
        <f>'[1]barnspec mottag plan 5 till 6'!R8/12*6</f>
        <v>#REF!</v>
      </c>
      <c r="AJ71" s="180" t="e">
        <f>'[1]barnspec mottag plan 5 till 6'!S8</f>
        <v>#REF!</v>
      </c>
      <c r="AK71" s="180" t="e">
        <f>'[1]barnspec mottag plan 5 till 6'!T8</f>
        <v>#REF!</v>
      </c>
      <c r="AL71" s="180" t="e">
        <f>'[1]barnspec mottag plan 5 till 6'!U8</f>
        <v>#REF!</v>
      </c>
      <c r="AM71" s="62"/>
      <c r="AN71" s="181"/>
      <c r="AO71" s="181"/>
      <c r="AP71" s="181"/>
      <c r="AQ71" s="181"/>
      <c r="AR71" s="180">
        <v>0</v>
      </c>
      <c r="AS71" s="180">
        <v>0</v>
      </c>
      <c r="AT71" s="180" t="e">
        <f>-'[1]barnspec mottag plan 5 till 6'!L22/12*6</f>
        <v>#REF!</v>
      </c>
      <c r="AU71" s="180" t="e">
        <f>-'[1]barnspec mottag plan 5 till 6'!M22</f>
        <v>#REF!</v>
      </c>
      <c r="AV71" s="180" t="e">
        <f>-'[1]barnspec mottag plan 5 till 6'!N22</f>
        <v>#REF!</v>
      </c>
      <c r="AW71" s="180" t="e">
        <f>-'[1]barnspec mottag plan 5 till 6'!O22</f>
        <v>#REF!</v>
      </c>
      <c r="AX71" s="65"/>
      <c r="AY71" s="65"/>
      <c r="AZ71" s="65"/>
      <c r="BA71" s="65"/>
      <c r="BB71" s="65"/>
      <c r="BC71" s="65"/>
      <c r="BD71" s="65"/>
      <c r="BE71" s="65"/>
      <c r="BF71" s="65"/>
      <c r="BG71" s="65"/>
      <c r="BH71" s="65"/>
      <c r="BI71" s="158"/>
      <c r="BJ71" s="158"/>
    </row>
    <row r="72" spans="1:62" s="126" customFormat="1" ht="32" outlineLevel="1" x14ac:dyDescent="0.2">
      <c r="A72" s="113">
        <v>12</v>
      </c>
      <c r="B72" s="183" t="s">
        <v>167</v>
      </c>
      <c r="C72" s="183" t="s">
        <v>241</v>
      </c>
      <c r="D72" s="183" t="s">
        <v>208</v>
      </c>
      <c r="E72" s="183"/>
      <c r="F72" s="147">
        <v>4</v>
      </c>
      <c r="G72" s="179" t="s">
        <v>237</v>
      </c>
      <c r="H72" s="170" t="s">
        <v>199</v>
      </c>
      <c r="I72" s="168" t="s">
        <v>200</v>
      </c>
      <c r="J72" s="147">
        <v>0</v>
      </c>
      <c r="K72" s="108"/>
      <c r="L72" s="108"/>
      <c r="M72" s="185">
        <v>5000</v>
      </c>
      <c r="N72" s="185">
        <v>20000</v>
      </c>
      <c r="O72" s="172">
        <f t="shared" si="58"/>
        <v>25000</v>
      </c>
      <c r="P72" s="185">
        <v>25000</v>
      </c>
      <c r="Q72" s="60"/>
      <c r="R72" s="60"/>
      <c r="S72" s="185">
        <v>0</v>
      </c>
      <c r="T72" s="185">
        <v>0</v>
      </c>
      <c r="U72" s="185">
        <v>0</v>
      </c>
      <c r="V72" s="60"/>
      <c r="W72" s="146">
        <f t="shared" si="56"/>
        <v>50000</v>
      </c>
      <c r="X72" s="189">
        <f t="shared" si="57"/>
        <v>50000</v>
      </c>
      <c r="Y72" s="147"/>
      <c r="Z72" s="175" t="s">
        <v>202</v>
      </c>
      <c r="AA72" s="175" t="s">
        <v>231</v>
      </c>
      <c r="AB72" s="62"/>
      <c r="AC72" s="63"/>
      <c r="AD72" s="63"/>
      <c r="AE72" s="63"/>
      <c r="AF72" s="63"/>
      <c r="AG72" s="185" t="e">
        <f>'[1]oförutsett KB'!L8</f>
        <v>#REF!</v>
      </c>
      <c r="AH72" s="185" t="e">
        <f>'[1]oförutsett KB'!M8</f>
        <v>#REF!</v>
      </c>
      <c r="AI72" s="185" t="e">
        <f>'[1]oförutsett KB'!N8</f>
        <v>#REF!</v>
      </c>
      <c r="AJ72" s="185" t="e">
        <f>'[1]oförutsett KB'!O8</f>
        <v>#REF!</v>
      </c>
      <c r="AK72" s="185" t="e">
        <f>'[1]oförutsett KB'!P8</f>
        <v>#REF!</v>
      </c>
      <c r="AL72" s="185" t="e">
        <f>'[1]oförutsett KB'!Q8</f>
        <v>#REF!</v>
      </c>
      <c r="AM72" s="62"/>
      <c r="AN72" s="64"/>
      <c r="AO72" s="64"/>
      <c r="AP72" s="64"/>
      <c r="AQ72" s="64"/>
      <c r="AR72" s="185" t="e">
        <f>-'[1]oförutsett KB'!L22</f>
        <v>#REF!</v>
      </c>
      <c r="AS72" s="185" t="e">
        <f>-'[1]oförutsett KB'!M22</f>
        <v>#REF!</v>
      </c>
      <c r="AT72" s="185" t="e">
        <f>-'[1]oförutsett KB'!N22</f>
        <v>#REF!</v>
      </c>
      <c r="AU72" s="185" t="e">
        <f>-'[1]oförutsett KB'!O22</f>
        <v>#REF!</v>
      </c>
      <c r="AV72" s="185" t="e">
        <f>-'[1]oförutsett KB'!P22</f>
        <v>#REF!</v>
      </c>
      <c r="AW72" s="185" t="e">
        <f>-'[1]oförutsett KB'!Q22</f>
        <v>#REF!</v>
      </c>
      <c r="AX72" s="65"/>
      <c r="AY72" s="65"/>
      <c r="AZ72" s="65"/>
      <c r="BA72" s="65"/>
      <c r="BB72" s="65"/>
      <c r="BC72" s="65"/>
      <c r="BD72" s="65"/>
      <c r="BE72" s="65"/>
      <c r="BF72" s="65"/>
      <c r="BG72" s="65"/>
      <c r="BH72" s="65"/>
      <c r="BI72" s="158"/>
      <c r="BJ72" s="158"/>
    </row>
    <row r="73" spans="1:62" s="126" customFormat="1" ht="48" outlineLevel="1" x14ac:dyDescent="0.2">
      <c r="A73" s="113">
        <v>13</v>
      </c>
      <c r="B73" s="186" t="s">
        <v>167</v>
      </c>
      <c r="C73" s="186" t="s">
        <v>242</v>
      </c>
      <c r="D73" s="187">
        <v>8041639</v>
      </c>
      <c r="E73" s="186" t="s">
        <v>243</v>
      </c>
      <c r="F73" s="168">
        <v>2</v>
      </c>
      <c r="G73" s="169" t="s">
        <v>244</v>
      </c>
      <c r="H73" s="170" t="s">
        <v>199</v>
      </c>
      <c r="I73" s="168" t="s">
        <v>245</v>
      </c>
      <c r="J73" s="147">
        <v>150</v>
      </c>
      <c r="K73" s="108">
        <v>3000</v>
      </c>
      <c r="L73" s="180">
        <v>0</v>
      </c>
      <c r="M73" s="180">
        <v>0</v>
      </c>
      <c r="N73" s="108"/>
      <c r="O73" s="172">
        <f t="shared" si="58"/>
        <v>0</v>
      </c>
      <c r="P73" s="108"/>
      <c r="Q73" s="108"/>
      <c r="R73" s="108"/>
      <c r="S73" s="180">
        <v>17000</v>
      </c>
      <c r="T73" s="180">
        <v>40000</v>
      </c>
      <c r="U73" s="108"/>
      <c r="V73" s="108"/>
      <c r="W73" s="146">
        <f t="shared" si="56"/>
        <v>57000</v>
      </c>
      <c r="X73" s="189">
        <f t="shared" si="57"/>
        <v>60000</v>
      </c>
      <c r="Y73" s="175" t="s">
        <v>246</v>
      </c>
      <c r="Z73" s="175" t="s">
        <v>215</v>
      </c>
      <c r="AA73" s="175" t="s">
        <v>216</v>
      </c>
      <c r="AB73" s="62"/>
      <c r="AC73" s="63"/>
      <c r="AD73" s="181">
        <v>0</v>
      </c>
      <c r="AE73" s="181">
        <v>0</v>
      </c>
      <c r="AF73" s="181">
        <v>0</v>
      </c>
      <c r="AG73" s="180">
        <v>0</v>
      </c>
      <c r="AH73" s="180">
        <v>0</v>
      </c>
      <c r="AI73" s="180">
        <v>0</v>
      </c>
      <c r="AJ73" s="63" t="e">
        <f>[1]cyklotron!L8</f>
        <v>#REF!</v>
      </c>
      <c r="AK73" s="63" t="e">
        <f>[1]cyklotron!M8</f>
        <v>#REF!</v>
      </c>
      <c r="AL73" s="63" t="e">
        <f>[1]cyklotron!N8</f>
        <v>#REF!</v>
      </c>
      <c r="AM73" s="62"/>
      <c r="AN73" s="64"/>
      <c r="AO73" s="181">
        <v>0</v>
      </c>
      <c r="AP73" s="181">
        <v>0</v>
      </c>
      <c r="AQ73" s="181">
        <v>0</v>
      </c>
      <c r="AR73" s="180">
        <v>0</v>
      </c>
      <c r="AS73" s="180">
        <v>0</v>
      </c>
      <c r="AT73" s="180">
        <v>0</v>
      </c>
      <c r="AU73" s="64" t="e">
        <f>-[1]cyklotron!L22</f>
        <v>#REF!</v>
      </c>
      <c r="AV73" s="64" t="e">
        <f>-[1]cyklotron!M22</f>
        <v>#REF!</v>
      </c>
      <c r="AW73" s="64" t="e">
        <f>-[1]cyklotron!N22</f>
        <v>#REF!</v>
      </c>
      <c r="AX73" s="65"/>
      <c r="AY73" s="65"/>
      <c r="AZ73" s="65"/>
      <c r="BA73" s="65"/>
      <c r="BB73" s="65"/>
      <c r="BC73" s="65"/>
      <c r="BD73" s="65"/>
      <c r="BE73" s="65"/>
      <c r="BF73" s="65"/>
      <c r="BG73" s="65"/>
      <c r="BH73" s="65"/>
      <c r="BI73" s="158"/>
      <c r="BJ73" s="158"/>
    </row>
    <row r="74" spans="1:62" s="126" customFormat="1" ht="64" outlineLevel="1" x14ac:dyDescent="0.2">
      <c r="A74" s="113">
        <v>14</v>
      </c>
      <c r="B74" s="191" t="s">
        <v>167</v>
      </c>
      <c r="C74" s="191" t="s">
        <v>247</v>
      </c>
      <c r="D74" s="177">
        <v>8041611</v>
      </c>
      <c r="E74" s="168" t="s">
        <v>248</v>
      </c>
      <c r="F74" s="168">
        <v>0</v>
      </c>
      <c r="G74" s="169" t="s">
        <v>249</v>
      </c>
      <c r="H74" s="170" t="s">
        <v>199</v>
      </c>
      <c r="I74" s="60" t="s">
        <v>245</v>
      </c>
      <c r="J74" s="60">
        <f>15+180</f>
        <v>195</v>
      </c>
      <c r="K74" s="60">
        <f>42+116+10000-158</f>
        <v>10000</v>
      </c>
      <c r="L74" s="60">
        <v>30000</v>
      </c>
      <c r="M74" s="108">
        <v>10000</v>
      </c>
      <c r="N74" s="108"/>
      <c r="O74" s="172">
        <f t="shared" si="58"/>
        <v>40000</v>
      </c>
      <c r="P74" s="60"/>
      <c r="Q74" s="60"/>
      <c r="R74" s="60"/>
      <c r="S74" s="60"/>
      <c r="T74" s="60"/>
      <c r="U74" s="60"/>
      <c r="V74" s="60"/>
      <c r="W74" s="146">
        <f t="shared" si="56"/>
        <v>40000</v>
      </c>
      <c r="X74" s="189">
        <f t="shared" si="57"/>
        <v>50000</v>
      </c>
      <c r="Y74" s="175" t="s">
        <v>250</v>
      </c>
      <c r="Z74" s="175" t="s">
        <v>202</v>
      </c>
      <c r="AA74" s="175" t="s">
        <v>203</v>
      </c>
      <c r="AB74" s="62"/>
      <c r="AC74" s="63"/>
      <c r="AD74" s="63" t="e">
        <f>[1]Dialysavdelning!L8</f>
        <v>#REF!</v>
      </c>
      <c r="AE74" s="63" t="e">
        <f>[1]Dialysavdelning!M8</f>
        <v>#REF!</v>
      </c>
      <c r="AF74" s="63" t="e">
        <f>[1]Dialysavdelning!N8</f>
        <v>#REF!</v>
      </c>
      <c r="AG74" s="63" t="e">
        <f>[1]Dialysavdelning!O8</f>
        <v>#REF!</v>
      </c>
      <c r="AH74" s="63" t="e">
        <f>[1]Dialysavdelning!P8</f>
        <v>#REF!</v>
      </c>
      <c r="AI74" s="63" t="e">
        <f>[1]Dialysavdelning!Q8</f>
        <v>#REF!</v>
      </c>
      <c r="AJ74" s="63" t="e">
        <f>[1]Dialysavdelning!R8</f>
        <v>#REF!</v>
      </c>
      <c r="AK74" s="63" t="e">
        <f>[1]Dialysavdelning!S8</f>
        <v>#REF!</v>
      </c>
      <c r="AL74" s="63" t="e">
        <f>[1]Dialysavdelning!T8</f>
        <v>#REF!</v>
      </c>
      <c r="AM74" s="62"/>
      <c r="AN74" s="64"/>
      <c r="AO74" s="64" t="e">
        <f>-[1]Dialysavdelning!L22</f>
        <v>#REF!</v>
      </c>
      <c r="AP74" s="64" t="e">
        <f>-[1]Dialysavdelning!M22</f>
        <v>#REF!</v>
      </c>
      <c r="AQ74" s="64" t="e">
        <f>-[1]Dialysavdelning!N22</f>
        <v>#REF!</v>
      </c>
      <c r="AR74" s="64" t="e">
        <f>-[1]Dialysavdelning!O22</f>
        <v>#REF!</v>
      </c>
      <c r="AS74" s="64" t="e">
        <f>-[1]Dialysavdelning!P22</f>
        <v>#REF!</v>
      </c>
      <c r="AT74" s="64" t="e">
        <f>-[1]Dialysavdelning!Q22</f>
        <v>#REF!</v>
      </c>
      <c r="AU74" s="64" t="e">
        <f>-[1]Dialysavdelning!R22</f>
        <v>#REF!</v>
      </c>
      <c r="AV74" s="64" t="e">
        <f>-[1]Dialysavdelning!S22</f>
        <v>#REF!</v>
      </c>
      <c r="AW74" s="64" t="e">
        <f>-[1]Dialysavdelning!T22</f>
        <v>#REF!</v>
      </c>
      <c r="AX74" s="65"/>
      <c r="AY74" s="65"/>
      <c r="AZ74" s="65"/>
      <c r="BA74" s="65"/>
      <c r="BB74" s="65"/>
      <c r="BC74" s="65"/>
      <c r="BD74" s="65"/>
      <c r="BE74" s="65"/>
      <c r="BF74" s="65"/>
      <c r="BG74" s="65"/>
      <c r="BH74" s="65"/>
      <c r="BI74" s="158"/>
      <c r="BJ74" s="158"/>
    </row>
    <row r="75" spans="1:62" s="126" customFormat="1" ht="95.25" customHeight="1" outlineLevel="1" x14ac:dyDescent="0.2">
      <c r="A75" s="113">
        <v>15</v>
      </c>
      <c r="B75" s="186" t="s">
        <v>167</v>
      </c>
      <c r="C75" s="186" t="s">
        <v>251</v>
      </c>
      <c r="D75" s="187" t="s">
        <v>252</v>
      </c>
      <c r="E75" s="186" t="s">
        <v>253</v>
      </c>
      <c r="F75" s="168">
        <v>5</v>
      </c>
      <c r="G75" s="192" t="s">
        <v>254</v>
      </c>
      <c r="H75" s="170" t="s">
        <v>199</v>
      </c>
      <c r="I75" s="170" t="s">
        <v>245</v>
      </c>
      <c r="J75" s="175">
        <f>7437+3000</f>
        <v>10437</v>
      </c>
      <c r="K75" s="60">
        <f>7436+6000-436</f>
        <v>13000</v>
      </c>
      <c r="L75" s="180">
        <v>0</v>
      </c>
      <c r="M75" s="180">
        <v>0</v>
      </c>
      <c r="N75" s="108"/>
      <c r="O75" s="172">
        <f t="shared" si="55"/>
        <v>0</v>
      </c>
      <c r="P75" s="108"/>
      <c r="Q75" s="108"/>
      <c r="R75" s="108"/>
      <c r="S75" s="180">
        <f>70000+3000</f>
        <v>73000</v>
      </c>
      <c r="T75" s="180">
        <f>70000+4000</f>
        <v>74000</v>
      </c>
      <c r="U75" s="108"/>
      <c r="V75" s="108"/>
      <c r="W75" s="146">
        <f t="shared" si="56"/>
        <v>147000</v>
      </c>
      <c r="X75" s="189">
        <f t="shared" si="57"/>
        <v>160000</v>
      </c>
      <c r="Y75" s="175"/>
      <c r="Z75" s="175" t="s">
        <v>255</v>
      </c>
      <c r="AA75" s="60" t="s">
        <v>255</v>
      </c>
      <c r="AB75" s="62"/>
      <c r="AC75" s="63"/>
      <c r="AD75" s="181">
        <v>0</v>
      </c>
      <c r="AE75" s="181">
        <v>0</v>
      </c>
      <c r="AF75" s="181">
        <v>0</v>
      </c>
      <c r="AG75" s="180">
        <v>0</v>
      </c>
      <c r="AH75" s="180">
        <v>0</v>
      </c>
      <c r="AI75" s="180">
        <v>0</v>
      </c>
      <c r="AJ75" s="180" t="e">
        <f>'[1]nytt produktionskök'!L8</f>
        <v>#REF!</v>
      </c>
      <c r="AK75" s="180" t="e">
        <f>'[1]nytt produktionskök'!M8</f>
        <v>#REF!</v>
      </c>
      <c r="AL75" s="180" t="e">
        <f>'[1]nytt produktionskök'!N8</f>
        <v>#REF!</v>
      </c>
      <c r="AM75" s="62"/>
      <c r="AN75" s="64"/>
      <c r="AO75" s="181">
        <v>0</v>
      </c>
      <c r="AP75" s="181">
        <v>0</v>
      </c>
      <c r="AQ75" s="181">
        <v>0</v>
      </c>
      <c r="AR75" s="180">
        <v>0</v>
      </c>
      <c r="AS75" s="180">
        <v>0</v>
      </c>
      <c r="AT75" s="180">
        <v>0</v>
      </c>
      <c r="AU75" s="180" t="e">
        <f>-'[1]nytt produktionskök'!L22</f>
        <v>#REF!</v>
      </c>
      <c r="AV75" s="180" t="e">
        <f>-'[1]nytt produktionskök'!M22</f>
        <v>#REF!</v>
      </c>
      <c r="AW75" s="180" t="e">
        <f>-'[1]nytt produktionskök'!N22</f>
        <v>#REF!</v>
      </c>
      <c r="AX75" s="65"/>
      <c r="AY75" s="65"/>
      <c r="AZ75" s="65"/>
      <c r="BA75" s="65"/>
      <c r="BB75" s="65"/>
      <c r="BC75" s="65"/>
      <c r="BD75" s="65"/>
      <c r="BE75" s="65"/>
      <c r="BF75" s="65"/>
      <c r="BG75" s="65"/>
      <c r="BH75" s="65"/>
      <c r="BI75" s="158"/>
      <c r="BJ75" s="158"/>
    </row>
    <row r="76" spans="1:62" s="126" customFormat="1" ht="32" outlineLevel="1" x14ac:dyDescent="0.2">
      <c r="A76" s="113">
        <v>16</v>
      </c>
      <c r="B76" s="186" t="s">
        <v>167</v>
      </c>
      <c r="C76" s="186" t="s">
        <v>256</v>
      </c>
      <c r="D76" s="187">
        <v>8041301</v>
      </c>
      <c r="E76" s="186" t="s">
        <v>257</v>
      </c>
      <c r="F76" s="168">
        <v>1</v>
      </c>
      <c r="G76" s="169" t="s">
        <v>237</v>
      </c>
      <c r="H76" s="170" t="s">
        <v>199</v>
      </c>
      <c r="I76" s="168" t="s">
        <v>245</v>
      </c>
      <c r="J76" s="147">
        <v>1311</v>
      </c>
      <c r="K76" s="108">
        <f>710+387+3-100+4000</f>
        <v>5000</v>
      </c>
      <c r="L76" s="180">
        <v>0</v>
      </c>
      <c r="M76" s="180">
        <v>0</v>
      </c>
      <c r="N76" s="180">
        <v>0</v>
      </c>
      <c r="O76" s="172">
        <f t="shared" si="55"/>
        <v>0</v>
      </c>
      <c r="P76" s="180">
        <v>0</v>
      </c>
      <c r="Q76" s="180">
        <v>0</v>
      </c>
      <c r="R76" s="60"/>
      <c r="S76" s="180">
        <v>20000</v>
      </c>
      <c r="T76" s="180">
        <v>60000</v>
      </c>
      <c r="U76" s="180">
        <v>65000</v>
      </c>
      <c r="V76" s="180">
        <v>104000</v>
      </c>
      <c r="W76" s="146">
        <f t="shared" si="56"/>
        <v>249000</v>
      </c>
      <c r="X76" s="189">
        <f t="shared" si="57"/>
        <v>254000</v>
      </c>
      <c r="Y76" s="147"/>
      <c r="Z76" s="147" t="s">
        <v>202</v>
      </c>
      <c r="AA76" s="175" t="s">
        <v>231</v>
      </c>
      <c r="AB76" s="62"/>
      <c r="AC76" s="63"/>
      <c r="AD76" s="63"/>
      <c r="AE76" s="63"/>
      <c r="AF76" s="63"/>
      <c r="AG76" s="63"/>
      <c r="AH76" s="180">
        <v>0</v>
      </c>
      <c r="AI76" s="180">
        <v>0</v>
      </c>
      <c r="AJ76" s="180">
        <v>0</v>
      </c>
      <c r="AK76" s="180">
        <v>0</v>
      </c>
      <c r="AL76" s="180">
        <v>0</v>
      </c>
      <c r="AM76" s="62"/>
      <c r="AN76" s="64"/>
      <c r="AO76" s="64"/>
      <c r="AP76" s="64"/>
      <c r="AQ76" s="64"/>
      <c r="AR76" s="64"/>
      <c r="AS76" s="180">
        <v>0</v>
      </c>
      <c r="AT76" s="180">
        <v>0</v>
      </c>
      <c r="AU76" s="180">
        <v>0</v>
      </c>
      <c r="AV76" s="180">
        <v>0</v>
      </c>
      <c r="AW76" s="180">
        <v>0</v>
      </c>
      <c r="AX76" s="65"/>
      <c r="AY76" s="65"/>
      <c r="AZ76" s="65"/>
      <c r="BA76" s="65"/>
      <c r="BB76" s="65"/>
      <c r="BC76" s="65"/>
      <c r="BD76" s="65"/>
      <c r="BE76" s="65"/>
      <c r="BF76" s="65"/>
      <c r="BG76" s="65"/>
      <c r="BH76" s="65"/>
      <c r="BI76" s="158"/>
      <c r="BJ76" s="158"/>
    </row>
    <row r="77" spans="1:62" s="126" customFormat="1" ht="96" outlineLevel="1" x14ac:dyDescent="0.2">
      <c r="A77" s="113">
        <v>17</v>
      </c>
      <c r="B77" s="178" t="s">
        <v>167</v>
      </c>
      <c r="C77" s="178" t="s">
        <v>258</v>
      </c>
      <c r="D77" s="178"/>
      <c r="E77" s="178" t="s">
        <v>259</v>
      </c>
      <c r="F77" s="147">
        <v>4</v>
      </c>
      <c r="G77" s="179" t="s">
        <v>237</v>
      </c>
      <c r="H77" s="170" t="s">
        <v>199</v>
      </c>
      <c r="I77" s="168" t="s">
        <v>245</v>
      </c>
      <c r="J77" s="147">
        <v>0</v>
      </c>
      <c r="K77" s="108">
        <v>5000</v>
      </c>
      <c r="L77" s="180">
        <v>0</v>
      </c>
      <c r="M77" s="180">
        <v>0</v>
      </c>
      <c r="N77" s="180">
        <v>0</v>
      </c>
      <c r="O77" s="172">
        <f>L77+M77+N77</f>
        <v>0</v>
      </c>
      <c r="P77" s="180">
        <v>0</v>
      </c>
      <c r="Q77" s="180">
        <v>0</v>
      </c>
      <c r="R77" s="180">
        <v>0</v>
      </c>
      <c r="S77" s="180">
        <f t="shared" ref="S77:V77" si="59">1495000/4</f>
        <v>373750</v>
      </c>
      <c r="T77" s="180">
        <f t="shared" si="59"/>
        <v>373750</v>
      </c>
      <c r="U77" s="180">
        <f t="shared" si="59"/>
        <v>373750</v>
      </c>
      <c r="V77" s="180">
        <f t="shared" si="59"/>
        <v>373750</v>
      </c>
      <c r="W77" s="146">
        <f t="shared" si="56"/>
        <v>1495000</v>
      </c>
      <c r="X77" s="189">
        <f t="shared" si="57"/>
        <v>1500000</v>
      </c>
      <c r="Y77" s="147" t="s">
        <v>260</v>
      </c>
      <c r="Z77" s="175" t="s">
        <v>202</v>
      </c>
      <c r="AA77" s="175" t="s">
        <v>255</v>
      </c>
      <c r="AB77" s="62"/>
      <c r="AC77" s="63"/>
      <c r="AD77" s="63"/>
      <c r="AE77" s="63"/>
      <c r="AF77" s="63"/>
      <c r="AG77" s="63"/>
      <c r="AH77" s="63"/>
      <c r="AI77" s="180">
        <v>0</v>
      </c>
      <c r="AJ77" s="180">
        <v>0</v>
      </c>
      <c r="AK77" s="180">
        <v>0</v>
      </c>
      <c r="AL77" s="180">
        <v>0</v>
      </c>
      <c r="AM77" s="62"/>
      <c r="AN77" s="64"/>
      <c r="AO77" s="64"/>
      <c r="AP77" s="64"/>
      <c r="AQ77" s="64"/>
      <c r="AR77" s="64"/>
      <c r="AS77" s="64"/>
      <c r="AT77" s="180">
        <v>0</v>
      </c>
      <c r="AU77" s="180">
        <v>0</v>
      </c>
      <c r="AV77" s="180">
        <v>0</v>
      </c>
      <c r="AW77" s="180">
        <v>0</v>
      </c>
      <c r="AX77" s="65"/>
      <c r="AY77" s="65"/>
      <c r="AZ77" s="65"/>
      <c r="BA77" s="65"/>
      <c r="BB77" s="65"/>
      <c r="BC77" s="65"/>
      <c r="BD77" s="65"/>
      <c r="BE77" s="65"/>
      <c r="BF77" s="65"/>
      <c r="BG77" s="65"/>
      <c r="BH77" s="65"/>
      <c r="BI77" s="158"/>
      <c r="BJ77" s="158"/>
    </row>
    <row r="78" spans="1:62" s="126" customFormat="1" ht="32" outlineLevel="1" x14ac:dyDescent="0.2">
      <c r="A78" s="113">
        <v>18</v>
      </c>
      <c r="B78" s="193" t="s">
        <v>167</v>
      </c>
      <c r="C78" s="186" t="s">
        <v>261</v>
      </c>
      <c r="D78" s="187">
        <v>8041622</v>
      </c>
      <c r="E78" s="186" t="s">
        <v>262</v>
      </c>
      <c r="F78" s="168">
        <v>3</v>
      </c>
      <c r="G78" s="169" t="s">
        <v>263</v>
      </c>
      <c r="H78" s="170" t="s">
        <v>199</v>
      </c>
      <c r="I78" s="175" t="s">
        <v>264</v>
      </c>
      <c r="J78" s="60">
        <v>515</v>
      </c>
      <c r="K78" s="60">
        <v>2500</v>
      </c>
      <c r="L78" s="180">
        <v>0</v>
      </c>
      <c r="M78" s="108"/>
      <c r="N78" s="108"/>
      <c r="O78" s="172">
        <f>L78+M78+N78</f>
        <v>0</v>
      </c>
      <c r="P78" s="108"/>
      <c r="Q78" s="108"/>
      <c r="R78" s="108"/>
      <c r="S78" s="180">
        <f>7500</f>
        <v>7500</v>
      </c>
      <c r="T78" s="108"/>
      <c r="U78" s="108"/>
      <c r="V78" s="108"/>
      <c r="W78" s="146">
        <f>O78+P78+Q78+R78+S78+T78+U78+V78</f>
        <v>7500</v>
      </c>
      <c r="X78" s="174">
        <f>K78+L78+M78+N78+P78+Q78+R78+S78+T78+U78+V78</f>
        <v>10000</v>
      </c>
      <c r="Y78" s="175"/>
      <c r="Z78" s="175" t="s">
        <v>202</v>
      </c>
      <c r="AA78" s="175" t="s">
        <v>265</v>
      </c>
      <c r="AB78" s="62"/>
      <c r="AC78" s="63"/>
      <c r="AD78" s="181">
        <v>0</v>
      </c>
      <c r="AE78" s="181">
        <v>0</v>
      </c>
      <c r="AF78" s="181">
        <v>0</v>
      </c>
      <c r="AG78" s="180">
        <v>0</v>
      </c>
      <c r="AH78" s="180">
        <v>0</v>
      </c>
      <c r="AI78" s="180">
        <v>0</v>
      </c>
      <c r="AJ78" s="180" t="e">
        <f>[1]Tillnyktringsnhet!L8</f>
        <v>#REF!</v>
      </c>
      <c r="AK78" s="180" t="e">
        <f>[1]Tillnyktringsnhet!M8</f>
        <v>#REF!</v>
      </c>
      <c r="AL78" s="180" t="e">
        <f>[1]Tillnyktringsnhet!N8</f>
        <v>#REF!</v>
      </c>
      <c r="AM78" s="62"/>
      <c r="AN78" s="64"/>
      <c r="AO78" s="181">
        <v>0</v>
      </c>
      <c r="AP78" s="181">
        <v>0</v>
      </c>
      <c r="AQ78" s="181">
        <v>0</v>
      </c>
      <c r="AR78" s="180">
        <v>0</v>
      </c>
      <c r="AS78" s="180">
        <v>0</v>
      </c>
      <c r="AT78" s="180">
        <v>0</v>
      </c>
      <c r="AU78" s="180" t="e">
        <f>-[1]Tillnyktringsnhet!L22</f>
        <v>#REF!</v>
      </c>
      <c r="AV78" s="180" t="e">
        <f>-[1]Tillnyktringsnhet!M22</f>
        <v>#REF!</v>
      </c>
      <c r="AW78" s="180" t="e">
        <f>-[1]Tillnyktringsnhet!N22</f>
        <v>#REF!</v>
      </c>
      <c r="AX78" s="65"/>
      <c r="AY78" s="65"/>
      <c r="AZ78" s="65"/>
      <c r="BA78" s="65"/>
      <c r="BB78" s="65"/>
      <c r="BC78" s="65"/>
      <c r="BD78" s="65"/>
      <c r="BE78" s="65"/>
      <c r="BF78" s="65"/>
      <c r="BG78" s="65"/>
      <c r="BH78" s="65"/>
      <c r="BI78" s="158"/>
      <c r="BJ78" s="158"/>
    </row>
    <row r="79" spans="1:62" s="102" customFormat="1" ht="48" outlineLevel="1" x14ac:dyDescent="0.2">
      <c r="A79" s="113">
        <v>19</v>
      </c>
      <c r="B79" s="168" t="s">
        <v>167</v>
      </c>
      <c r="C79" s="168" t="s">
        <v>266</v>
      </c>
      <c r="D79" s="177">
        <v>8040748</v>
      </c>
      <c r="E79" s="168" t="s">
        <v>267</v>
      </c>
      <c r="F79" s="168">
        <v>0</v>
      </c>
      <c r="G79" s="169" t="s">
        <v>268</v>
      </c>
      <c r="H79" s="170" t="s">
        <v>199</v>
      </c>
      <c r="I79" s="168" t="s">
        <v>269</v>
      </c>
      <c r="J79" s="147">
        <v>158000</v>
      </c>
      <c r="K79" s="108">
        <f>13100+5000-100</f>
        <v>18000</v>
      </c>
      <c r="L79" s="108">
        <v>12000</v>
      </c>
      <c r="M79" s="108">
        <v>30000</v>
      </c>
      <c r="N79" s="108">
        <v>30000</v>
      </c>
      <c r="O79" s="172">
        <f t="shared" si="55"/>
        <v>72000</v>
      </c>
      <c r="P79" s="108">
        <v>30000</v>
      </c>
      <c r="Q79" s="108">
        <v>38000</v>
      </c>
      <c r="R79" s="60"/>
      <c r="S79" s="60"/>
      <c r="T79" s="60"/>
      <c r="U79" s="60"/>
      <c r="V79" s="60"/>
      <c r="W79" s="146">
        <f t="shared" si="56"/>
        <v>140000</v>
      </c>
      <c r="X79" s="174">
        <f t="shared" si="57"/>
        <v>158000</v>
      </c>
      <c r="Y79" s="175" t="s">
        <v>270</v>
      </c>
      <c r="Z79" s="175" t="s">
        <v>271</v>
      </c>
      <c r="AA79" s="175" t="s">
        <v>272</v>
      </c>
      <c r="AB79" s="62"/>
      <c r="AC79" s="99"/>
      <c r="AD79" s="63" t="e">
        <f>'[1]etapp 1 smågodstransportör'!L8</f>
        <v>#REF!</v>
      </c>
      <c r="AE79" s="63" t="e">
        <f>'[1]etapp 1 smågodstransportör'!M8</f>
        <v>#REF!</v>
      </c>
      <c r="AF79" s="63" t="e">
        <f>'[1]etapp 1 smågodstransportör'!N8+'[1]etapp 2 smågodstransportör '!L8</f>
        <v>#REF!</v>
      </c>
      <c r="AG79" s="63" t="e">
        <f>'[1]etapp 1 smågodstransportör'!O8+'[1]etapp 2 smågodstransportör '!M8</f>
        <v>#REF!</v>
      </c>
      <c r="AH79" s="63" t="e">
        <f>'[1]etapp 1 smågodstransportör'!P8+'[1]etapp 2 smågodstransportör '!N8+'[1]etapp 3 smågodstransportör  '!L8</f>
        <v>#REF!</v>
      </c>
      <c r="AI79" s="63" t="e">
        <f>'[1]etapp 1 smågodstransportör'!Q8+'[1]etapp 2 smågodstransportör '!O8+'[1]etapp 3 smågodstransportör  '!M8</f>
        <v>#REF!</v>
      </c>
      <c r="AJ79" s="63" t="e">
        <f>'[1]etapp 1 smågodstransportör'!R8+'[1]etapp 2 smågodstransportör '!P8+'[1]etapp 3 smågodstransportör  '!N8</f>
        <v>#REF!</v>
      </c>
      <c r="AK79" s="63" t="e">
        <f>'[1]etapp 1 smågodstransportör'!S8+'[1]etapp 2 smågodstransportör '!Q8+'[1]etapp 3 smågodstransportör  '!O8</f>
        <v>#REF!</v>
      </c>
      <c r="AL79" s="63" t="e">
        <f>'[1]etapp 1 smågodstransportör'!T8+'[1]etapp 2 smågodstransportör '!R8+'[1]etapp 3 smågodstransportör  '!P8</f>
        <v>#REF!</v>
      </c>
      <c r="AM79" s="62"/>
      <c r="AN79" s="64"/>
      <c r="AO79" s="64" t="e">
        <f>-'[1]etapp 1 smågodstransportör'!L22</f>
        <v>#REF!</v>
      </c>
      <c r="AP79" s="64" t="e">
        <f>-'[1]etapp 1 smågodstransportör'!M22</f>
        <v>#REF!</v>
      </c>
      <c r="AQ79" s="64" t="e">
        <f>-'[1]etapp 1 smågodstransportör'!N22-'[1]etapp 2 smågodstransportör '!L22</f>
        <v>#REF!</v>
      </c>
      <c r="AR79" s="64" t="e">
        <f>-'[1]etapp 1 smågodstransportör'!O22-'[1]etapp 2 smågodstransportör '!M22</f>
        <v>#REF!</v>
      </c>
      <c r="AS79" s="64" t="e">
        <f>-'[1]etapp 1 smågodstransportör'!P22-'[1]etapp 2 smågodstransportör '!N22-'[1]etapp 3 smågodstransportör  '!L22</f>
        <v>#REF!</v>
      </c>
      <c r="AT79" s="64" t="e">
        <f>-'[1]etapp 1 smågodstransportör'!Q22-'[1]etapp 2 smågodstransportör '!O22-'[1]etapp 3 smågodstransportör  '!M22</f>
        <v>#REF!</v>
      </c>
      <c r="AU79" s="64" t="e">
        <f>-'[1]etapp 1 smågodstransportör'!R22-'[1]etapp 2 smågodstransportör '!P22-'[1]etapp 3 smågodstransportör  '!N22</f>
        <v>#REF!</v>
      </c>
      <c r="AV79" s="64" t="e">
        <f>-'[1]etapp 1 smågodstransportör'!S22-'[1]etapp 2 smågodstransportör '!Q22-'[1]etapp 3 smågodstransportör  '!O22</f>
        <v>#REF!</v>
      </c>
      <c r="AW79" s="64" t="e">
        <f>-'[1]etapp 1 smågodstransportör'!T22-'[1]etapp 2 smågodstransportör '!R22-'[1]etapp 3 smågodstransportör  '!P22</f>
        <v>#REF!</v>
      </c>
      <c r="AX79" s="65"/>
      <c r="AY79" s="65"/>
      <c r="AZ79" s="65"/>
      <c r="BA79" s="65"/>
      <c r="BB79" s="65"/>
      <c r="BC79" s="65"/>
      <c r="BD79" s="65"/>
      <c r="BE79" s="65"/>
      <c r="BF79" s="65"/>
      <c r="BG79" s="65"/>
      <c r="BH79" s="65"/>
      <c r="BI79" s="4"/>
      <c r="BJ79" s="4"/>
    </row>
    <row r="80" spans="1:62" s="102" customFormat="1" ht="57" outlineLevel="1" x14ac:dyDescent="0.2">
      <c r="A80" s="113">
        <v>20</v>
      </c>
      <c r="B80" s="147" t="s">
        <v>167</v>
      </c>
      <c r="C80" s="147" t="s">
        <v>273</v>
      </c>
      <c r="D80" s="194">
        <v>8040990</v>
      </c>
      <c r="E80" s="147" t="s">
        <v>274</v>
      </c>
      <c r="F80" s="147">
        <v>0</v>
      </c>
      <c r="G80" s="179" t="s">
        <v>275</v>
      </c>
      <c r="H80" s="170" t="s">
        <v>199</v>
      </c>
      <c r="I80" s="168" t="s">
        <v>276</v>
      </c>
      <c r="J80" s="147">
        <v>1845</v>
      </c>
      <c r="K80" s="108">
        <f>20000/2*50%</f>
        <v>5000</v>
      </c>
      <c r="L80" s="108"/>
      <c r="M80" s="108">
        <f>10000*50%</f>
        <v>5000</v>
      </c>
      <c r="N80" s="108"/>
      <c r="O80" s="172">
        <f t="shared" si="55"/>
        <v>5000</v>
      </c>
      <c r="P80" s="60"/>
      <c r="Q80" s="60"/>
      <c r="R80" s="60"/>
      <c r="S80" s="60"/>
      <c r="T80" s="60"/>
      <c r="U80" s="60"/>
      <c r="V80" s="60"/>
      <c r="W80" s="146">
        <f t="shared" si="56"/>
        <v>5000</v>
      </c>
      <c r="X80" s="174">
        <f>K80+L80+M80+N80+P80+Q80+R80+S80+T80+U80+V80</f>
        <v>10000</v>
      </c>
      <c r="Y80" s="97"/>
      <c r="Z80" s="60" t="s">
        <v>225</v>
      </c>
      <c r="AA80" s="175" t="s">
        <v>226</v>
      </c>
      <c r="AB80" s="62"/>
      <c r="AC80" s="63" t="e">
        <f>'[1]förrådshissar B11, J'!L8*50%</f>
        <v>#REF!</v>
      </c>
      <c r="AD80" s="63" t="e">
        <f>'[1]förrådshissar B11, J'!M8*50%</f>
        <v>#REF!</v>
      </c>
      <c r="AE80" s="63" t="e">
        <f>'[1]förrådshissar B11, J'!N8*50%+'[1]förrådshissar B11, J'!L8*50%</f>
        <v>#REF!</v>
      </c>
      <c r="AF80" s="63" t="e">
        <f>'[1]förrådshissar B11, J'!O8*50%+'[1]förrådshissar B11, J'!M8*50%</f>
        <v>#REF!</v>
      </c>
      <c r="AG80" s="63" t="e">
        <f>'[1]förrådshissar B11, J'!P8*50%+'[1]förrådshissar B11, J'!N8*50%</f>
        <v>#REF!</v>
      </c>
      <c r="AH80" s="63" t="e">
        <f>'[1]förrådshissar B11, J'!Q8*50%+'[1]förrådshissar B11, J'!O8*50%</f>
        <v>#REF!</v>
      </c>
      <c r="AI80" s="63" t="e">
        <f>'[1]förrådshissar B11, J'!R8*50%+'[1]förrådshissar B11, J'!P8*50%</f>
        <v>#REF!</v>
      </c>
      <c r="AJ80" s="63" t="e">
        <f>'[1]förrådshissar B11, J'!S8*50%+'[1]förrådshissar B11, J'!Q8*50%</f>
        <v>#REF!</v>
      </c>
      <c r="AK80" s="63" t="e">
        <f>'[1]förrådshissar B11, J'!T8*50%+'[1]förrådshissar B11, J'!R8*50%</f>
        <v>#REF!</v>
      </c>
      <c r="AL80" s="63" t="e">
        <f>'[1]förrådshissar B11, J'!U8*50%+'[1]förrådshissar B11, J'!S8*50%</f>
        <v>#REF!</v>
      </c>
      <c r="AM80" s="62"/>
      <c r="AN80" s="64" t="e">
        <f>-'[1]förrådshissar B11, J'!L22*50%</f>
        <v>#REF!</v>
      </c>
      <c r="AO80" s="64" t="e">
        <f>-'[1]förrådshissar B11, J'!M22*50%</f>
        <v>#REF!</v>
      </c>
      <c r="AP80" s="64" t="e">
        <f>-'[1]förrådshissar B11, J'!N22*50%-'[1]förrådshissar B11, J'!L22*50%</f>
        <v>#REF!</v>
      </c>
      <c r="AQ80" s="64" t="e">
        <f>-'[1]förrådshissar B11, J'!O22*50%-'[1]förrådshissar B11, J'!M22*50%</f>
        <v>#REF!</v>
      </c>
      <c r="AR80" s="64" t="e">
        <f>-'[1]förrådshissar B11, J'!P22*50%-'[1]förrådshissar B11, J'!N22*50%</f>
        <v>#REF!</v>
      </c>
      <c r="AS80" s="64" t="e">
        <f>-'[1]förrådshissar B11, J'!Q22*50%-'[1]förrådshissar B11, J'!O22*50%</f>
        <v>#REF!</v>
      </c>
      <c r="AT80" s="64" t="e">
        <f>-'[1]förrådshissar B11, J'!R22*50%-'[1]förrådshissar B11, J'!P22*50%</f>
        <v>#REF!</v>
      </c>
      <c r="AU80" s="64" t="e">
        <f>-'[1]förrådshissar B11, J'!S22*50%-'[1]förrådshissar B11, J'!Q22*50%</f>
        <v>#REF!</v>
      </c>
      <c r="AV80" s="64" t="e">
        <f>-'[1]förrådshissar B11, J'!T22*50%-'[1]förrådshissar B11, J'!R22*50%</f>
        <v>#REF!</v>
      </c>
      <c r="AW80" s="64" t="e">
        <f>-'[1]förrådshissar B11, J'!U22*50%-'[1]förrådshissar B11, J'!S22*50%</f>
        <v>#REF!</v>
      </c>
      <c r="AX80" s="65"/>
      <c r="AY80" s="65"/>
      <c r="AZ80" s="65"/>
      <c r="BA80" s="65"/>
      <c r="BB80" s="65"/>
      <c r="BC80" s="65"/>
      <c r="BD80" s="65"/>
      <c r="BE80" s="65"/>
      <c r="BF80" s="65"/>
      <c r="BG80" s="65"/>
      <c r="BH80" s="65"/>
      <c r="BI80" s="4"/>
      <c r="BJ80" s="4"/>
    </row>
    <row r="81" spans="1:70" s="102" customFormat="1" ht="71" outlineLevel="1" x14ac:dyDescent="0.2">
      <c r="A81" s="113">
        <v>21</v>
      </c>
      <c r="B81" s="147" t="s">
        <v>167</v>
      </c>
      <c r="C81" s="147" t="s">
        <v>277</v>
      </c>
      <c r="D81" s="194">
        <v>8040990</v>
      </c>
      <c r="E81" s="147" t="s">
        <v>278</v>
      </c>
      <c r="F81" s="147">
        <v>0</v>
      </c>
      <c r="G81" s="179" t="s">
        <v>279</v>
      </c>
      <c r="H81" s="170" t="s">
        <v>199</v>
      </c>
      <c r="I81" s="168" t="s">
        <v>276</v>
      </c>
      <c r="J81" s="147"/>
      <c r="K81" s="108">
        <v>5000</v>
      </c>
      <c r="L81" s="108"/>
      <c r="M81" s="108">
        <v>5000</v>
      </c>
      <c r="N81" s="108"/>
      <c r="O81" s="172">
        <f t="shared" si="55"/>
        <v>5000</v>
      </c>
      <c r="P81" s="60"/>
      <c r="Q81" s="60"/>
      <c r="R81" s="60"/>
      <c r="S81" s="60"/>
      <c r="T81" s="60"/>
      <c r="U81" s="60"/>
      <c r="V81" s="60"/>
      <c r="W81" s="146">
        <f t="shared" si="56"/>
        <v>5000</v>
      </c>
      <c r="X81" s="174">
        <f>K81+L81+M81+N81+P81+Q81+R81+S81+T81+U81+V81</f>
        <v>10000</v>
      </c>
      <c r="Y81" s="97"/>
      <c r="Z81" s="60" t="s">
        <v>225</v>
      </c>
      <c r="AA81" s="175" t="s">
        <v>226</v>
      </c>
      <c r="AB81" s="62"/>
      <c r="AC81" s="63" t="e">
        <f>AC80</f>
        <v>#REF!</v>
      </c>
      <c r="AD81" s="63" t="e">
        <f t="shared" ref="AD81:AL81" si="60">AD80</f>
        <v>#REF!</v>
      </c>
      <c r="AE81" s="63" t="e">
        <f t="shared" si="60"/>
        <v>#REF!</v>
      </c>
      <c r="AF81" s="63" t="e">
        <f t="shared" si="60"/>
        <v>#REF!</v>
      </c>
      <c r="AG81" s="63" t="e">
        <f t="shared" si="60"/>
        <v>#REF!</v>
      </c>
      <c r="AH81" s="63" t="e">
        <f t="shared" si="60"/>
        <v>#REF!</v>
      </c>
      <c r="AI81" s="63" t="e">
        <f t="shared" si="60"/>
        <v>#REF!</v>
      </c>
      <c r="AJ81" s="63" t="e">
        <f t="shared" si="60"/>
        <v>#REF!</v>
      </c>
      <c r="AK81" s="63" t="e">
        <f t="shared" si="60"/>
        <v>#REF!</v>
      </c>
      <c r="AL81" s="63" t="e">
        <f t="shared" si="60"/>
        <v>#REF!</v>
      </c>
      <c r="AM81" s="62"/>
      <c r="AN81" s="64" t="e">
        <f>AN80</f>
        <v>#REF!</v>
      </c>
      <c r="AO81" s="64" t="e">
        <f t="shared" ref="AO81:AW81" si="61">AO80</f>
        <v>#REF!</v>
      </c>
      <c r="AP81" s="64" t="e">
        <f t="shared" si="61"/>
        <v>#REF!</v>
      </c>
      <c r="AQ81" s="64" t="e">
        <f t="shared" si="61"/>
        <v>#REF!</v>
      </c>
      <c r="AR81" s="64" t="e">
        <f t="shared" si="61"/>
        <v>#REF!</v>
      </c>
      <c r="AS81" s="64" t="e">
        <f t="shared" si="61"/>
        <v>#REF!</v>
      </c>
      <c r="AT81" s="64" t="e">
        <f t="shared" si="61"/>
        <v>#REF!</v>
      </c>
      <c r="AU81" s="64" t="e">
        <f t="shared" si="61"/>
        <v>#REF!</v>
      </c>
      <c r="AV81" s="64" t="e">
        <f t="shared" si="61"/>
        <v>#REF!</v>
      </c>
      <c r="AW81" s="64" t="e">
        <f t="shared" si="61"/>
        <v>#REF!</v>
      </c>
      <c r="AX81" s="65"/>
      <c r="AY81" s="65"/>
      <c r="AZ81" s="65"/>
      <c r="BA81" s="65"/>
      <c r="BB81" s="65"/>
      <c r="BC81" s="65"/>
      <c r="BD81" s="65"/>
      <c r="BE81" s="65"/>
      <c r="BF81" s="65"/>
      <c r="BG81" s="65"/>
      <c r="BH81" s="65"/>
      <c r="BI81" s="4"/>
      <c r="BJ81" s="4"/>
    </row>
    <row r="82" spans="1:70" s="126" customFormat="1" ht="16" outlineLevel="1" x14ac:dyDescent="0.2">
      <c r="A82" s="113">
        <v>22</v>
      </c>
      <c r="B82" s="186" t="s">
        <v>167</v>
      </c>
      <c r="C82" s="186" t="s">
        <v>61</v>
      </c>
      <c r="D82" s="187">
        <v>8041121</v>
      </c>
      <c r="E82" s="186" t="s">
        <v>280</v>
      </c>
      <c r="F82" s="168">
        <v>5</v>
      </c>
      <c r="G82" s="169" t="s">
        <v>281</v>
      </c>
      <c r="H82" s="170" t="s">
        <v>199</v>
      </c>
      <c r="I82" s="168" t="s">
        <v>276</v>
      </c>
      <c r="J82" s="147">
        <v>7000</v>
      </c>
      <c r="K82" s="108">
        <f>2700+300</f>
        <v>3000</v>
      </c>
      <c r="L82" s="108"/>
      <c r="M82" s="108"/>
      <c r="N82" s="108"/>
      <c r="O82" s="172">
        <f t="shared" si="55"/>
        <v>0</v>
      </c>
      <c r="P82" s="180">
        <v>0</v>
      </c>
      <c r="Q82" s="180">
        <v>0</v>
      </c>
      <c r="R82" s="60"/>
      <c r="S82" s="180">
        <f>31000+4000</f>
        <v>35000</v>
      </c>
      <c r="T82" s="180">
        <v>37000</v>
      </c>
      <c r="U82" s="60"/>
      <c r="V82" s="60"/>
      <c r="W82" s="146">
        <f t="shared" si="56"/>
        <v>72000</v>
      </c>
      <c r="X82" s="189">
        <f t="shared" si="57"/>
        <v>75000</v>
      </c>
      <c r="Y82" s="175"/>
      <c r="Z82" s="175" t="s">
        <v>202</v>
      </c>
      <c r="AA82" s="175" t="s">
        <v>255</v>
      </c>
      <c r="AB82" s="62"/>
      <c r="AC82" s="63"/>
      <c r="AD82" s="63"/>
      <c r="AE82" s="63"/>
      <c r="AF82" s="63"/>
      <c r="AG82" s="181">
        <v>0</v>
      </c>
      <c r="AH82" s="181">
        <v>0</v>
      </c>
      <c r="AI82" s="181">
        <v>0</v>
      </c>
      <c r="AJ82" s="180" t="e">
        <f>'[1]ny huvudentré'!L8</f>
        <v>#REF!</v>
      </c>
      <c r="AK82" s="180" t="e">
        <f>'[1]ny huvudentré'!M8</f>
        <v>#REF!</v>
      </c>
      <c r="AL82" s="180" t="e">
        <f>'[1]ny huvudentré'!N8</f>
        <v>#REF!</v>
      </c>
      <c r="AM82" s="62"/>
      <c r="AN82" s="64"/>
      <c r="AO82" s="64"/>
      <c r="AP82" s="64"/>
      <c r="AQ82" s="64"/>
      <c r="AR82" s="181">
        <v>0</v>
      </c>
      <c r="AS82" s="181">
        <v>0</v>
      </c>
      <c r="AT82" s="181">
        <v>0</v>
      </c>
      <c r="AU82" s="180" t="e">
        <f>-'[1]ny huvudentré'!L22</f>
        <v>#REF!</v>
      </c>
      <c r="AV82" s="180" t="e">
        <f>-'[1]ny huvudentré'!M22</f>
        <v>#REF!</v>
      </c>
      <c r="AW82" s="180" t="e">
        <f>-'[1]ny huvudentré'!N22</f>
        <v>#REF!</v>
      </c>
      <c r="AX82" s="65"/>
      <c r="AY82" s="65"/>
      <c r="AZ82" s="65"/>
      <c r="BA82" s="65"/>
      <c r="BB82" s="65"/>
      <c r="BC82" s="65"/>
      <c r="BD82" s="65"/>
      <c r="BE82" s="65"/>
      <c r="BF82" s="65"/>
      <c r="BG82" s="65"/>
      <c r="BH82" s="65"/>
      <c r="BI82" s="158"/>
      <c r="BJ82" s="158"/>
    </row>
    <row r="83" spans="1:70" s="126" customFormat="1" ht="48" outlineLevel="1" x14ac:dyDescent="0.2">
      <c r="A83" s="113">
        <v>23</v>
      </c>
      <c r="B83" s="147" t="s">
        <v>167</v>
      </c>
      <c r="C83" s="147" t="s">
        <v>282</v>
      </c>
      <c r="D83" s="147"/>
      <c r="E83" s="147" t="s">
        <v>283</v>
      </c>
      <c r="F83" s="147">
        <v>0</v>
      </c>
      <c r="G83" s="179" t="s">
        <v>284</v>
      </c>
      <c r="H83" s="168" t="s">
        <v>199</v>
      </c>
      <c r="I83" s="168" t="s">
        <v>276</v>
      </c>
      <c r="J83" s="147"/>
      <c r="K83" s="108">
        <f>39693+4839+11300+6053+2500</f>
        <v>64385</v>
      </c>
      <c r="L83" s="108">
        <f>101200+22725</f>
        <v>123925</v>
      </c>
      <c r="M83" s="108"/>
      <c r="N83" s="108"/>
      <c r="O83" s="172">
        <f t="shared" si="55"/>
        <v>123925</v>
      </c>
      <c r="P83" s="108"/>
      <c r="Q83" s="60"/>
      <c r="R83" s="60"/>
      <c r="S83" s="60"/>
      <c r="T83" s="60"/>
      <c r="U83" s="60"/>
      <c r="V83" s="60"/>
      <c r="W83" s="146">
        <f t="shared" si="56"/>
        <v>123925</v>
      </c>
      <c r="X83" s="174">
        <f t="shared" si="57"/>
        <v>188310</v>
      </c>
      <c r="Y83" s="175" t="s">
        <v>285</v>
      </c>
      <c r="Z83" s="175" t="s">
        <v>202</v>
      </c>
      <c r="AA83" s="175" t="s">
        <v>286</v>
      </c>
      <c r="AB83" s="62"/>
      <c r="AC83" s="63"/>
      <c r="AD83" s="63" t="e">
        <f>'[1]anpass B9 ing 100'!L8</f>
        <v>#REF!</v>
      </c>
      <c r="AE83" s="63" t="e">
        <f>'[1]anpass B9 ing 100'!M8</f>
        <v>#REF!</v>
      </c>
      <c r="AF83" s="63" t="e">
        <f>'[1]anpass B9 ing 100'!N8</f>
        <v>#REF!</v>
      </c>
      <c r="AG83" s="63" t="e">
        <f>'[1]anpass B9 ing 100'!O8</f>
        <v>#REF!</v>
      </c>
      <c r="AH83" s="63" t="e">
        <f>'[1]anpass B9 ing 100'!P8</f>
        <v>#REF!</v>
      </c>
      <c r="AI83" s="63" t="e">
        <f>'[1]anpass B9 ing 100'!Q8</f>
        <v>#REF!</v>
      </c>
      <c r="AJ83" s="63" t="e">
        <f>'[1]anpass B9 ing 100'!R8</f>
        <v>#REF!</v>
      </c>
      <c r="AK83" s="63" t="e">
        <f>'[1]anpass B9 ing 100'!S8</f>
        <v>#REF!</v>
      </c>
      <c r="AL83" s="63" t="e">
        <f>'[1]anpass B9 ing 100'!T8</f>
        <v>#REF!</v>
      </c>
      <c r="AM83" s="62"/>
      <c r="AN83" s="64"/>
      <c r="AO83" s="64" t="e">
        <f>-'[1]anpass B9 ing 100'!L22</f>
        <v>#REF!</v>
      </c>
      <c r="AP83" s="64" t="e">
        <f>-'[1]anpass B9 ing 100'!M22</f>
        <v>#REF!</v>
      </c>
      <c r="AQ83" s="64" t="e">
        <f>-'[1]anpass B9 ing 100'!N22</f>
        <v>#REF!</v>
      </c>
      <c r="AR83" s="64" t="e">
        <f>-'[1]anpass B9 ing 100'!O22</f>
        <v>#REF!</v>
      </c>
      <c r="AS83" s="64" t="e">
        <f>-'[1]anpass B9 ing 100'!P22</f>
        <v>#REF!</v>
      </c>
      <c r="AT83" s="64" t="e">
        <f>-'[1]anpass B9 ing 100'!Q22</f>
        <v>#REF!</v>
      </c>
      <c r="AU83" s="64" t="e">
        <f>-'[1]anpass B9 ing 100'!R22</f>
        <v>#REF!</v>
      </c>
      <c r="AV83" s="64" t="e">
        <f>-'[1]anpass B9 ing 100'!S22</f>
        <v>#REF!</v>
      </c>
      <c r="AW83" s="64" t="e">
        <f>-'[1]anpass B9 ing 100'!T22</f>
        <v>#REF!</v>
      </c>
      <c r="AX83" s="65"/>
      <c r="AY83" s="65"/>
      <c r="AZ83" s="65"/>
      <c r="BA83" s="65"/>
      <c r="BB83" s="65"/>
      <c r="BC83" s="65"/>
      <c r="BD83" s="65"/>
      <c r="BE83" s="65"/>
      <c r="BF83" s="65"/>
      <c r="BG83" s="65"/>
      <c r="BH83" s="65"/>
      <c r="BI83" s="158"/>
      <c r="BJ83" s="158"/>
    </row>
    <row r="84" spans="1:70" s="126" customFormat="1" ht="219" customHeight="1" outlineLevel="1" x14ac:dyDescent="0.2">
      <c r="A84" s="113">
        <v>24</v>
      </c>
      <c r="B84" s="147" t="s">
        <v>167</v>
      </c>
      <c r="C84" s="147" t="s">
        <v>287</v>
      </c>
      <c r="D84" s="147"/>
      <c r="E84" s="147" t="s">
        <v>288</v>
      </c>
      <c r="F84" s="147">
        <v>1</v>
      </c>
      <c r="G84" s="179" t="s">
        <v>289</v>
      </c>
      <c r="H84" s="168" t="s">
        <v>199</v>
      </c>
      <c r="I84" s="168" t="s">
        <v>276</v>
      </c>
      <c r="J84" s="147" t="e">
        <f>'[1]upparb hyreskost FAS'!G13+'[1]upparb hyreskost FAS'!G24</f>
        <v>#REF!</v>
      </c>
      <c r="K84" s="108" t="e">
        <f>'[1]upparb hyreskost FAS'!G13+'[1]upparb hyreskost FAS'!G24</f>
        <v>#REF!</v>
      </c>
      <c r="L84" s="108">
        <f>3000+5000</f>
        <v>8000</v>
      </c>
      <c r="M84" s="108">
        <v>2000</v>
      </c>
      <c r="N84" s="108">
        <v>0</v>
      </c>
      <c r="O84" s="172">
        <f t="shared" si="55"/>
        <v>10000</v>
      </c>
      <c r="P84" s="108">
        <v>20000</v>
      </c>
      <c r="Q84" s="108">
        <f>38000+100000</f>
        <v>138000</v>
      </c>
      <c r="R84" s="108">
        <v>103722</v>
      </c>
      <c r="S84" s="60"/>
      <c r="T84" s="60"/>
      <c r="U84" s="60"/>
      <c r="V84" s="60"/>
      <c r="W84" s="146">
        <f t="shared" si="56"/>
        <v>271722</v>
      </c>
      <c r="X84" s="174" t="e">
        <f t="shared" si="57"/>
        <v>#REF!</v>
      </c>
      <c r="Y84" s="147" t="s">
        <v>290</v>
      </c>
      <c r="Z84" s="147" t="s">
        <v>202</v>
      </c>
      <c r="AA84" s="175" t="s">
        <v>286</v>
      </c>
      <c r="AB84" s="62"/>
      <c r="AC84" s="63"/>
      <c r="AD84" s="63"/>
      <c r="AE84" s="63"/>
      <c r="AF84" s="63"/>
      <c r="AG84" s="63"/>
      <c r="AH84" s="63" t="e">
        <f>'[1]etapp 1 B9 ombyggnation'!L8</f>
        <v>#REF!</v>
      </c>
      <c r="AI84" s="63" t="e">
        <f>'[1]etapp 1 B9 ombyggnation'!M8</f>
        <v>#REF!</v>
      </c>
      <c r="AJ84" s="63" t="e">
        <f>'[1]etapp 1 B9 ombyggnation'!N8</f>
        <v>#REF!</v>
      </c>
      <c r="AK84" s="63" t="e">
        <f>'[1]etapp 1 B9 ombyggnation'!O8</f>
        <v>#REF!</v>
      </c>
      <c r="AL84" s="63" t="e">
        <f>'[1]etapp 1 B9 ombyggnation'!P8</f>
        <v>#REF!</v>
      </c>
      <c r="AM84" s="62"/>
      <c r="AN84" s="64"/>
      <c r="AO84" s="64"/>
      <c r="AP84" s="64"/>
      <c r="AQ84" s="64"/>
      <c r="AR84" s="64"/>
      <c r="AS84" s="64" t="e">
        <f>-'[1]etapp 1 B9 ombyggnation'!L22</f>
        <v>#REF!</v>
      </c>
      <c r="AT84" s="64" t="e">
        <f>-'[1]etapp 1 B9 ombyggnation'!M22</f>
        <v>#REF!</v>
      </c>
      <c r="AU84" s="64" t="e">
        <f>-'[1]etapp 1 B9 ombyggnation'!N22</f>
        <v>#REF!</v>
      </c>
      <c r="AV84" s="64" t="e">
        <f>-'[1]etapp 1 B9 ombyggnation'!O22</f>
        <v>#REF!</v>
      </c>
      <c r="AW84" s="64" t="e">
        <f>-'[1]etapp 1 B9 ombyggnation'!P22</f>
        <v>#REF!</v>
      </c>
      <c r="AX84" s="65"/>
      <c r="AY84" s="65"/>
      <c r="AZ84" s="65"/>
      <c r="BA84" s="65"/>
      <c r="BB84" s="65"/>
      <c r="BC84" s="65"/>
      <c r="BD84" s="65">
        <v>46942</v>
      </c>
      <c r="BE84" s="65"/>
      <c r="BF84" s="65"/>
      <c r="BG84" s="65"/>
      <c r="BH84" s="65"/>
      <c r="BI84" s="158"/>
      <c r="BJ84" s="158"/>
    </row>
    <row r="85" spans="1:70" s="126" customFormat="1" ht="210.75" customHeight="1" outlineLevel="1" x14ac:dyDescent="0.2">
      <c r="A85" s="113">
        <v>25</v>
      </c>
      <c r="B85" s="147" t="s">
        <v>167</v>
      </c>
      <c r="C85" s="147" t="s">
        <v>291</v>
      </c>
      <c r="D85" s="147"/>
      <c r="E85" s="147" t="s">
        <v>292</v>
      </c>
      <c r="F85" s="147">
        <v>1</v>
      </c>
      <c r="G85" s="179" t="s">
        <v>293</v>
      </c>
      <c r="H85" s="168" t="s">
        <v>199</v>
      </c>
      <c r="I85" s="168" t="s">
        <v>276</v>
      </c>
      <c r="J85" s="147" t="e">
        <f>'[1]upparb hyreskost FAS'!G14+'[1]upparb hyreskost FAS'!G25</f>
        <v>#REF!</v>
      </c>
      <c r="K85" s="108" t="e">
        <f>'[1]upparb hyreskost FAS'!G14+'[1]upparb hyreskost FAS'!G25+5000</f>
        <v>#REF!</v>
      </c>
      <c r="L85" s="108">
        <f>20000+25000</f>
        <v>45000</v>
      </c>
      <c r="M85" s="108">
        <v>112500</v>
      </c>
      <c r="N85" s="108">
        <v>262500</v>
      </c>
      <c r="O85" s="172">
        <f t="shared" si="55"/>
        <v>420000</v>
      </c>
      <c r="P85" s="108">
        <v>313000</v>
      </c>
      <c r="Q85" s="108">
        <v>79500</v>
      </c>
      <c r="R85" s="108"/>
      <c r="S85" s="60"/>
      <c r="T85" s="60"/>
      <c r="U85" s="60"/>
      <c r="V85" s="60"/>
      <c r="W85" s="146">
        <f t="shared" si="56"/>
        <v>812500</v>
      </c>
      <c r="X85" s="174" t="e">
        <f t="shared" si="57"/>
        <v>#REF!</v>
      </c>
      <c r="Y85" s="147" t="s">
        <v>294</v>
      </c>
      <c r="Z85" s="147" t="s">
        <v>202</v>
      </c>
      <c r="AA85" s="175" t="s">
        <v>286</v>
      </c>
      <c r="AB85" s="62"/>
      <c r="AC85" s="63"/>
      <c r="AD85" s="63"/>
      <c r="AE85" s="63"/>
      <c r="AF85" s="63"/>
      <c r="AG85" s="63" t="e">
        <f>'[1] etapp 1 B12 ombyggnation '!L8/12*6</f>
        <v>#REF!</v>
      </c>
      <c r="AH85" s="63" t="e">
        <f>'[1] etapp 1 B12 ombyggnation '!M8</f>
        <v>#REF!</v>
      </c>
      <c r="AI85" s="63" t="e">
        <f>'[1] etapp 1 B12 ombyggnation '!N8</f>
        <v>#REF!</v>
      </c>
      <c r="AJ85" s="63" t="e">
        <f>'[1] etapp 1 B12 ombyggnation '!O8</f>
        <v>#REF!</v>
      </c>
      <c r="AK85" s="63" t="e">
        <f>'[1] etapp 1 B12 ombyggnation '!P8</f>
        <v>#REF!</v>
      </c>
      <c r="AL85" s="63" t="e">
        <f>'[1] etapp 1 B12 ombyggnation '!Q8</f>
        <v>#REF!</v>
      </c>
      <c r="AM85" s="62"/>
      <c r="AN85" s="64"/>
      <c r="AO85" s="64"/>
      <c r="AP85" s="64"/>
      <c r="AQ85" s="64"/>
      <c r="AR85" s="64" t="e">
        <f>-'[1] etapp 1 B12 ombyggnation '!L22/12*6</f>
        <v>#REF!</v>
      </c>
      <c r="AS85" s="64" t="e">
        <f>-'[1] etapp 1 B12 ombyggnation '!M22</f>
        <v>#REF!</v>
      </c>
      <c r="AT85" s="64" t="e">
        <f>-'[1] etapp 1 B12 ombyggnation '!N22</f>
        <v>#REF!</v>
      </c>
      <c r="AU85" s="64" t="e">
        <f>-'[1] etapp 1 B12 ombyggnation '!O22</f>
        <v>#REF!</v>
      </c>
      <c r="AV85" s="64" t="e">
        <f>-'[1] etapp 1 B12 ombyggnation '!P22</f>
        <v>#REF!</v>
      </c>
      <c r="AW85" s="64" t="e">
        <f>-'[1] etapp 1 B12 ombyggnation '!Q22</f>
        <v>#REF!</v>
      </c>
      <c r="AX85" s="65"/>
      <c r="AY85" s="65"/>
      <c r="AZ85" s="65"/>
      <c r="BA85" s="65"/>
      <c r="BB85" s="65">
        <v>20128</v>
      </c>
      <c r="BC85" s="65"/>
      <c r="BD85" s="65"/>
      <c r="BE85" s="65"/>
      <c r="BF85" s="65"/>
      <c r="BG85" s="65"/>
      <c r="BH85" s="65"/>
      <c r="BI85" s="158"/>
      <c r="BJ85" s="158"/>
    </row>
    <row r="86" spans="1:70" s="126" customFormat="1" ht="32" outlineLevel="1" x14ac:dyDescent="0.2">
      <c r="A86" s="113">
        <v>26</v>
      </c>
      <c r="B86" s="147" t="s">
        <v>167</v>
      </c>
      <c r="C86" s="147" t="s">
        <v>295</v>
      </c>
      <c r="D86" s="147"/>
      <c r="E86" s="147" t="s">
        <v>296</v>
      </c>
      <c r="F86" s="147">
        <v>1</v>
      </c>
      <c r="G86" s="179"/>
      <c r="H86" s="168" t="s">
        <v>199</v>
      </c>
      <c r="I86" s="168" t="s">
        <v>276</v>
      </c>
      <c r="J86" s="147">
        <v>0</v>
      </c>
      <c r="K86" s="108">
        <v>248</v>
      </c>
      <c r="L86" s="108">
        <v>3100</v>
      </c>
      <c r="M86" s="108">
        <v>4300</v>
      </c>
      <c r="N86" s="108">
        <v>15100</v>
      </c>
      <c r="O86" s="172">
        <f t="shared" si="55"/>
        <v>22500</v>
      </c>
      <c r="P86" s="108">
        <v>25800</v>
      </c>
      <c r="Q86" s="108">
        <v>21200</v>
      </c>
      <c r="R86" s="108">
        <v>12252</v>
      </c>
      <c r="S86" s="108"/>
      <c r="T86" s="60"/>
      <c r="U86" s="60"/>
      <c r="V86" s="60"/>
      <c r="W86" s="146">
        <f>O86+P86+Q86+R86+S86+T86+U86+V86</f>
        <v>81752</v>
      </c>
      <c r="X86" s="174">
        <f t="shared" si="57"/>
        <v>82000</v>
      </c>
      <c r="Y86" s="147"/>
      <c r="Z86" s="147" t="s">
        <v>202</v>
      </c>
      <c r="AA86" s="175" t="s">
        <v>286</v>
      </c>
      <c r="AB86" s="62"/>
      <c r="AC86" s="63"/>
      <c r="AD86" s="63"/>
      <c r="AE86" s="63"/>
      <c r="AF86" s="63"/>
      <c r="AG86" s="63" t="e">
        <f>'[1]index B9,B12 hyra '!L8/12*6</f>
        <v>#REF!</v>
      </c>
      <c r="AH86" s="63" t="e">
        <f>'[1]index B9,B12 hyra '!M8</f>
        <v>#REF!</v>
      </c>
      <c r="AI86" s="63" t="e">
        <f>'[1]index B9,B12 hyra '!N8</f>
        <v>#REF!</v>
      </c>
      <c r="AJ86" s="63" t="e">
        <f>'[1]index B9,B12 hyra '!O8</f>
        <v>#REF!</v>
      </c>
      <c r="AK86" s="63" t="e">
        <f>'[1]index B9,B12 hyra '!P8</f>
        <v>#REF!</v>
      </c>
      <c r="AL86" s="63" t="e">
        <f>'[1]index B9,B12 hyra '!Q8</f>
        <v>#REF!</v>
      </c>
      <c r="AM86" s="62"/>
      <c r="AN86" s="64"/>
      <c r="AO86" s="64"/>
      <c r="AP86" s="64"/>
      <c r="AQ86" s="64"/>
      <c r="AR86" s="64" t="e">
        <f>-'[1]index B9,B12 hyra '!L22/12*6</f>
        <v>#REF!</v>
      </c>
      <c r="AS86" s="64" t="e">
        <f>-'[1]index B9,B12 hyra '!M22</f>
        <v>#REF!</v>
      </c>
      <c r="AT86" s="64" t="e">
        <f>-'[1]index B9,B12 hyra '!N22</f>
        <v>#REF!</v>
      </c>
      <c r="AU86" s="64" t="e">
        <f>-'[1]index B9,B12 hyra '!O22</f>
        <v>#REF!</v>
      </c>
      <c r="AV86" s="64" t="e">
        <f>-'[1]index B9,B12 hyra '!P22</f>
        <v>#REF!</v>
      </c>
      <c r="AW86" s="64" t="e">
        <f>-'[1]index B9,B12 hyra '!Q22</f>
        <v>#REF!</v>
      </c>
      <c r="AX86" s="65"/>
      <c r="AY86" s="65"/>
      <c r="AZ86" s="65"/>
      <c r="BA86" s="65"/>
      <c r="BB86" s="65"/>
      <c r="BC86" s="65"/>
      <c r="BD86" s="65"/>
      <c r="BE86" s="65"/>
      <c r="BF86" s="65"/>
      <c r="BG86" s="65"/>
      <c r="BH86" s="65"/>
      <c r="BI86" s="158"/>
      <c r="BJ86" s="158"/>
    </row>
    <row r="87" spans="1:70" s="196" customFormat="1" ht="64" outlineLevel="1" x14ac:dyDescent="0.2">
      <c r="A87" s="113">
        <v>27</v>
      </c>
      <c r="B87" s="147" t="s">
        <v>167</v>
      </c>
      <c r="C87" s="147" t="s">
        <v>297</v>
      </c>
      <c r="D87" s="194">
        <v>8040550</v>
      </c>
      <c r="E87" s="147" t="s">
        <v>298</v>
      </c>
      <c r="F87" s="147">
        <v>0</v>
      </c>
      <c r="G87" s="179" t="s">
        <v>268</v>
      </c>
      <c r="H87" s="170" t="s">
        <v>199</v>
      </c>
      <c r="I87" s="168" t="s">
        <v>269</v>
      </c>
      <c r="J87" s="147" t="e">
        <f>'[1]upparb hyreskost FAS'!F6+431050+95651+76000</f>
        <v>#REF!</v>
      </c>
      <c r="K87" s="108" t="e">
        <f>'[1]upparb hyreskost FAS'!G6+89787+77520</f>
        <v>#REF!</v>
      </c>
      <c r="L87" s="108">
        <v>152544</v>
      </c>
      <c r="M87" s="108">
        <v>141726</v>
      </c>
      <c r="N87" s="108">
        <v>130828</v>
      </c>
      <c r="O87" s="172">
        <f t="shared" si="55"/>
        <v>425098</v>
      </c>
      <c r="P87" s="108">
        <v>78622</v>
      </c>
      <c r="Q87" s="108"/>
      <c r="R87" s="60"/>
      <c r="S87" s="60"/>
      <c r="T87" s="60"/>
      <c r="U87" s="60"/>
      <c r="V87" s="60"/>
      <c r="W87" s="146">
        <f t="shared" si="56"/>
        <v>503720</v>
      </c>
      <c r="X87" s="174" t="e">
        <f t="shared" si="57"/>
        <v>#REF!</v>
      </c>
      <c r="Y87" s="147" t="s">
        <v>299</v>
      </c>
      <c r="Z87" s="175" t="s">
        <v>202</v>
      </c>
      <c r="AA87" s="175" t="s">
        <v>286</v>
      </c>
      <c r="AB87" s="62"/>
      <c r="AC87" s="63"/>
      <c r="AD87" s="63" t="e">
        <f>'[1]B11 etapp 1'!L8/12*6</f>
        <v>#REF!</v>
      </c>
      <c r="AE87" s="63" t="e">
        <f>'[1]B11 etapp 1'!M8+'[1]B11 etapp 2'!L8/12*6</f>
        <v>#REF!</v>
      </c>
      <c r="AF87" s="63" t="e">
        <f>'[1]B11 etapp 1'!N8+'[1]B11 etapp 2'!M8+'[1]B11 etapp 3'!L8/12*6</f>
        <v>#REF!</v>
      </c>
      <c r="AG87" s="63" t="e">
        <f>'[1]B11 etapp 1'!O8+'[1]B11 etapp 2'!N8+'[1]B11 etapp 3'!M8</f>
        <v>#REF!</v>
      </c>
      <c r="AH87" s="63" t="e">
        <f>'[1]B11 etapp 1'!P8+'[1]B11 etapp 2'!O8+'[1]B11 etapp 3'!N8</f>
        <v>#REF!</v>
      </c>
      <c r="AI87" s="63" t="e">
        <f>'[1]B11 etapp 1'!Q8+'[1]B11 etapp 2'!P8+'[1]B11 etapp 3'!O8</f>
        <v>#REF!</v>
      </c>
      <c r="AJ87" s="63" t="e">
        <f>'[1]B11 etapp 1'!R8+'[1]B11 etapp 2'!Q8+'[1]B11 etapp 3'!P8</f>
        <v>#REF!</v>
      </c>
      <c r="AK87" s="63" t="e">
        <f>'[1]B11 etapp 1'!S8+'[1]B11 etapp 2'!R8+'[1]B11 etapp 3'!Q8</f>
        <v>#REF!</v>
      </c>
      <c r="AL87" s="63" t="e">
        <f>'[1]B11 etapp 1'!T8+'[1]B11 etapp 2'!S8+'[1]B11 etapp 3'!R8</f>
        <v>#REF!</v>
      </c>
      <c r="AM87" s="62"/>
      <c r="AN87" s="64"/>
      <c r="AO87" s="64" t="e">
        <f>-'[1]B11 etapp 1'!L22/12*6</f>
        <v>#REF!</v>
      </c>
      <c r="AP87" s="64" t="e">
        <f>-'[1]B11 etapp 1'!M22-'[1]B11 etapp 2'!L23/12*6</f>
        <v>#REF!</v>
      </c>
      <c r="AQ87" s="64" t="e">
        <f>-'[1]B11 etapp 1'!N22-'[1]B11 etapp 2'!M23-'[1]B11 etapp 3'!L22/12*6</f>
        <v>#REF!</v>
      </c>
      <c r="AR87" s="64" t="e">
        <f>-'[1]B11 etapp 1'!O22-'[1]B11 etapp 2'!N23-'[1]B11 etapp 3'!M22</f>
        <v>#REF!</v>
      </c>
      <c r="AS87" s="64" t="e">
        <f>-'[1]B11 etapp 1'!P22-'[1]B11 etapp 2'!O23-'[1]B11 etapp 3'!N22</f>
        <v>#REF!</v>
      </c>
      <c r="AT87" s="64" t="e">
        <f>-'[1]B11 etapp 1'!Q22-'[1]B11 etapp 2'!P23-'[1]B11 etapp 3'!O22</f>
        <v>#REF!</v>
      </c>
      <c r="AU87" s="64" t="e">
        <f>-'[1]B11 etapp 1'!R22-'[1]B11 etapp 2'!Q23-'[1]B11 etapp 3'!P22</f>
        <v>#REF!</v>
      </c>
      <c r="AV87" s="64" t="e">
        <f>-'[1]B11 etapp 1'!S22-'[1]B11 etapp 2'!R23-'[1]B11 etapp 3'!Q22</f>
        <v>#REF!</v>
      </c>
      <c r="AW87" s="64" t="e">
        <f>-'[1]B11 etapp 1'!T22-'[1]B11 etapp 2'!S23-'[1]B11 etapp 3'!R22</f>
        <v>#REF!</v>
      </c>
      <c r="AX87" s="65"/>
      <c r="AY87" s="65"/>
      <c r="AZ87" s="65">
        <v>11748</v>
      </c>
      <c r="BA87" s="65"/>
      <c r="BB87" s="65">
        <v>9089</v>
      </c>
      <c r="BC87" s="65"/>
      <c r="BD87" s="65"/>
      <c r="BE87" s="65"/>
      <c r="BF87" s="65"/>
      <c r="BG87" s="65"/>
      <c r="BH87" s="65"/>
      <c r="BI87" s="195"/>
      <c r="BJ87" s="195"/>
    </row>
    <row r="88" spans="1:70" s="126" customFormat="1" ht="48" outlineLevel="1" x14ac:dyDescent="0.2">
      <c r="A88" s="113">
        <v>28</v>
      </c>
      <c r="B88" s="168" t="s">
        <v>167</v>
      </c>
      <c r="C88" s="168" t="s">
        <v>300</v>
      </c>
      <c r="D88" s="177">
        <v>8040961</v>
      </c>
      <c r="E88" s="168" t="s">
        <v>301</v>
      </c>
      <c r="F88" s="168">
        <v>0</v>
      </c>
      <c r="G88" s="169" t="s">
        <v>268</v>
      </c>
      <c r="H88" s="170" t="s">
        <v>199</v>
      </c>
      <c r="I88" s="168" t="s">
        <v>269</v>
      </c>
      <c r="J88" s="147" t="e">
        <f>'[1]upparb hyreskost FAS'!G23+2335150</f>
        <v>#REF!</v>
      </c>
      <c r="K88" s="108" t="e">
        <f>'[1]upparb hyreskost FAS'!G23+1069551+860334</f>
        <v>#REF!</v>
      </c>
      <c r="L88" s="108">
        <v>405265</v>
      </c>
      <c r="M88" s="108"/>
      <c r="N88" s="60"/>
      <c r="O88" s="172">
        <f t="shared" si="55"/>
        <v>405265</v>
      </c>
      <c r="P88" s="60"/>
      <c r="Q88" s="60"/>
      <c r="R88" s="60"/>
      <c r="S88" s="60"/>
      <c r="T88" s="60"/>
      <c r="U88" s="60"/>
      <c r="V88" s="60"/>
      <c r="W88" s="146">
        <f t="shared" si="56"/>
        <v>405265</v>
      </c>
      <c r="X88" s="174" t="e">
        <f>K88+L88+M88+N88+P88+Q88+R88+S88+T88+U88+V88</f>
        <v>#REF!</v>
      </c>
      <c r="Y88" s="147" t="s">
        <v>302</v>
      </c>
      <c r="Z88" s="147" t="s">
        <v>202</v>
      </c>
      <c r="AA88" s="175" t="s">
        <v>286</v>
      </c>
      <c r="AB88" s="62"/>
      <c r="AC88" s="63" t="e">
        <f>'[1]J - huset ing 100'!L8/12*6</f>
        <v>#REF!</v>
      </c>
      <c r="AD88" s="63" t="e">
        <f>'[1]J - huset ing 100'!M8</f>
        <v>#REF!</v>
      </c>
      <c r="AE88" s="63" t="e">
        <f>'[1]J - huset ing 100'!N8</f>
        <v>#REF!</v>
      </c>
      <c r="AF88" s="63" t="e">
        <f>'[1]J - huset ing 100'!O8</f>
        <v>#REF!</v>
      </c>
      <c r="AG88" s="63" t="e">
        <f>'[1]J - huset ing 100'!P8</f>
        <v>#REF!</v>
      </c>
      <c r="AH88" s="63" t="e">
        <f>'[1]J - huset ing 100'!Q8</f>
        <v>#REF!</v>
      </c>
      <c r="AI88" s="63" t="e">
        <f>'[1]J - huset ing 100'!R8</f>
        <v>#REF!</v>
      </c>
      <c r="AJ88" s="63" t="e">
        <f>'[1]J - huset ing 100'!S8</f>
        <v>#REF!</v>
      </c>
      <c r="AK88" s="63" t="e">
        <f>'[1]J - huset ing 100'!T8</f>
        <v>#REF!</v>
      </c>
      <c r="AL88" s="63" t="e">
        <f>'[1]J - huset ing 100'!U8</f>
        <v>#REF!</v>
      </c>
      <c r="AM88" s="62"/>
      <c r="AN88" s="64" t="e">
        <f>-'[1]J - huset ing 100'!L22/12*6</f>
        <v>#REF!</v>
      </c>
      <c r="AO88" s="64" t="e">
        <f>-'[1]J - huset ing 100'!M22</f>
        <v>#REF!</v>
      </c>
      <c r="AP88" s="64" t="e">
        <f>-'[1]J - huset ing 100'!N22</f>
        <v>#REF!</v>
      </c>
      <c r="AQ88" s="64" t="e">
        <f>-'[1]J - huset ing 100'!O22</f>
        <v>#REF!</v>
      </c>
      <c r="AR88" s="64" t="e">
        <f>-'[1]J - huset ing 100'!P22</f>
        <v>#REF!</v>
      </c>
      <c r="AS88" s="64" t="e">
        <f>-'[1]J - huset ing 100'!Q22</f>
        <v>#REF!</v>
      </c>
      <c r="AT88" s="64" t="e">
        <f>-'[1]J - huset ing 100'!R22</f>
        <v>#REF!</v>
      </c>
      <c r="AU88" s="64" t="e">
        <f>-'[1]J - huset ing 100'!S22</f>
        <v>#REF!</v>
      </c>
      <c r="AV88" s="64" t="e">
        <f>-'[1]J - huset ing 100'!T22</f>
        <v>#REF!</v>
      </c>
      <c r="AW88" s="64" t="e">
        <f>-'[1]J - huset ing 100'!U22</f>
        <v>#REF!</v>
      </c>
      <c r="AX88" s="65"/>
      <c r="AY88" s="65"/>
      <c r="AZ88" s="65"/>
      <c r="BA88" s="65"/>
      <c r="BB88" s="65"/>
      <c r="BC88" s="65"/>
      <c r="BD88" s="65"/>
      <c r="BE88" s="65"/>
      <c r="BF88" s="65"/>
      <c r="BG88" s="65"/>
      <c r="BH88" s="65"/>
      <c r="BI88" s="158"/>
      <c r="BJ88" s="158"/>
    </row>
    <row r="89" spans="1:70" s="102" customFormat="1" ht="32" x14ac:dyDescent="0.2">
      <c r="A89" s="113"/>
      <c r="B89" s="159" t="s">
        <v>194</v>
      </c>
      <c r="C89" s="160" t="s">
        <v>303</v>
      </c>
      <c r="D89" s="161"/>
      <c r="E89" s="160"/>
      <c r="F89" s="160"/>
      <c r="G89" s="160"/>
      <c r="H89" s="160"/>
      <c r="I89" s="160"/>
      <c r="J89" s="164" t="e">
        <f t="shared" ref="J89:Y89" si="62">SUM(J59:J88)</f>
        <v>#REF!</v>
      </c>
      <c r="K89" s="164" t="e">
        <f t="shared" si="62"/>
        <v>#REF!</v>
      </c>
      <c r="L89" s="164">
        <f t="shared" si="62"/>
        <v>909834</v>
      </c>
      <c r="M89" s="164">
        <f t="shared" si="62"/>
        <v>450526</v>
      </c>
      <c r="N89" s="164">
        <f t="shared" si="62"/>
        <v>603428</v>
      </c>
      <c r="O89" s="164">
        <f t="shared" si="62"/>
        <v>1963788</v>
      </c>
      <c r="P89" s="164">
        <f t="shared" si="62"/>
        <v>642422</v>
      </c>
      <c r="Q89" s="164">
        <f t="shared" si="62"/>
        <v>421700</v>
      </c>
      <c r="R89" s="164">
        <f t="shared" si="62"/>
        <v>290974</v>
      </c>
      <c r="S89" s="164">
        <f t="shared" si="62"/>
        <v>607208</v>
      </c>
      <c r="T89" s="164">
        <f t="shared" si="62"/>
        <v>719750</v>
      </c>
      <c r="U89" s="164">
        <f t="shared" si="62"/>
        <v>585750</v>
      </c>
      <c r="V89" s="164">
        <f t="shared" si="62"/>
        <v>632750</v>
      </c>
      <c r="W89" s="164">
        <f t="shared" si="62"/>
        <v>5864342</v>
      </c>
      <c r="X89" s="164" t="e">
        <f t="shared" si="62"/>
        <v>#REF!</v>
      </c>
      <c r="Y89" s="164">
        <f t="shared" si="62"/>
        <v>0</v>
      </c>
      <c r="Z89" s="164"/>
      <c r="AA89" s="164">
        <f t="shared" ref="AA89:BH89" si="63">SUM(AA59:AA88)</f>
        <v>0</v>
      </c>
      <c r="AB89" s="164">
        <f t="shared" si="63"/>
        <v>0</v>
      </c>
      <c r="AC89" s="164" t="e">
        <f t="shared" si="63"/>
        <v>#REF!</v>
      </c>
      <c r="AD89" s="164" t="e">
        <f>SUM(AD59:AD88)</f>
        <v>#REF!</v>
      </c>
      <c r="AE89" s="164" t="e">
        <f t="shared" si="63"/>
        <v>#REF!</v>
      </c>
      <c r="AF89" s="164" t="e">
        <f t="shared" si="63"/>
        <v>#REF!</v>
      </c>
      <c r="AG89" s="164" t="e">
        <f t="shared" si="63"/>
        <v>#REF!</v>
      </c>
      <c r="AH89" s="164" t="e">
        <f t="shared" si="63"/>
        <v>#REF!</v>
      </c>
      <c r="AI89" s="164" t="e">
        <f t="shared" si="63"/>
        <v>#REF!</v>
      </c>
      <c r="AJ89" s="164" t="e">
        <f t="shared" si="63"/>
        <v>#REF!</v>
      </c>
      <c r="AK89" s="164" t="e">
        <f t="shared" si="63"/>
        <v>#REF!</v>
      </c>
      <c r="AL89" s="164" t="e">
        <f>SUM(AL59:AL88)</f>
        <v>#REF!</v>
      </c>
      <c r="AM89" s="164">
        <f t="shared" si="63"/>
        <v>0</v>
      </c>
      <c r="AN89" s="164" t="e">
        <f t="shared" si="63"/>
        <v>#REF!</v>
      </c>
      <c r="AO89" s="164" t="e">
        <f>SUM(AO59:AO88)</f>
        <v>#REF!</v>
      </c>
      <c r="AP89" s="164" t="e">
        <f t="shared" si="63"/>
        <v>#REF!</v>
      </c>
      <c r="AQ89" s="164" t="e">
        <f t="shared" si="63"/>
        <v>#REF!</v>
      </c>
      <c r="AR89" s="164" t="e">
        <f t="shared" si="63"/>
        <v>#REF!</v>
      </c>
      <c r="AS89" s="164" t="e">
        <f t="shared" si="63"/>
        <v>#REF!</v>
      </c>
      <c r="AT89" s="164" t="e">
        <f t="shared" si="63"/>
        <v>#REF!</v>
      </c>
      <c r="AU89" s="164" t="e">
        <f t="shared" si="63"/>
        <v>#REF!</v>
      </c>
      <c r="AV89" s="164" t="e">
        <f t="shared" si="63"/>
        <v>#REF!</v>
      </c>
      <c r="AW89" s="164" t="e">
        <f>SUM(AW59:AW88)</f>
        <v>#REF!</v>
      </c>
      <c r="AX89" s="164">
        <f t="shared" si="63"/>
        <v>0</v>
      </c>
      <c r="AY89" s="164">
        <f t="shared" si="63"/>
        <v>0</v>
      </c>
      <c r="AZ89" s="164">
        <f t="shared" si="63"/>
        <v>11748</v>
      </c>
      <c r="BA89" s="164">
        <f t="shared" si="63"/>
        <v>0</v>
      </c>
      <c r="BB89" s="164">
        <f t="shared" si="63"/>
        <v>29217</v>
      </c>
      <c r="BC89" s="164">
        <f t="shared" si="63"/>
        <v>0</v>
      </c>
      <c r="BD89" s="164">
        <f t="shared" si="63"/>
        <v>46942</v>
      </c>
      <c r="BE89" s="164">
        <f t="shared" si="63"/>
        <v>0</v>
      </c>
      <c r="BF89" s="164">
        <f t="shared" si="63"/>
        <v>0</v>
      </c>
      <c r="BG89" s="164">
        <f t="shared" si="63"/>
        <v>0</v>
      </c>
      <c r="BH89" s="164">
        <f t="shared" si="63"/>
        <v>25000</v>
      </c>
      <c r="BI89" s="4"/>
      <c r="BJ89" s="4"/>
      <c r="BR89" s="197"/>
    </row>
    <row r="90" spans="1:70" s="102" customFormat="1" ht="16" x14ac:dyDescent="0.2">
      <c r="A90" s="113"/>
      <c r="B90" s="198" t="s">
        <v>194</v>
      </c>
      <c r="C90" s="199"/>
      <c r="D90" s="200"/>
      <c r="E90" s="168"/>
      <c r="F90" s="168"/>
      <c r="G90" s="168"/>
      <c r="H90" s="201"/>
      <c r="I90" s="201"/>
      <c r="J90" s="202"/>
      <c r="K90" s="98"/>
      <c r="L90" s="98"/>
      <c r="M90" s="98"/>
      <c r="N90" s="98"/>
      <c r="O90" s="146"/>
      <c r="P90" s="98"/>
      <c r="Q90" s="98"/>
      <c r="R90" s="98"/>
      <c r="S90" s="98"/>
      <c r="T90" s="98"/>
      <c r="U90" s="98"/>
      <c r="V90" s="98"/>
      <c r="W90" s="146"/>
      <c r="X90" s="146"/>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4"/>
      <c r="BJ90" s="4"/>
    </row>
    <row r="91" spans="1:70" s="102" customFormat="1" ht="16" x14ac:dyDescent="0.2">
      <c r="A91" s="113"/>
      <c r="B91" s="203" t="s">
        <v>194</v>
      </c>
      <c r="C91" s="204" t="s">
        <v>304</v>
      </c>
      <c r="D91" s="205"/>
      <c r="E91" s="206"/>
      <c r="F91" s="206"/>
      <c r="G91" s="206"/>
      <c r="H91" s="206"/>
      <c r="I91" s="206"/>
      <c r="J91" s="207"/>
      <c r="K91" s="208"/>
      <c r="L91" s="208"/>
      <c r="M91" s="208"/>
      <c r="N91" s="208"/>
      <c r="O91" s="208"/>
      <c r="P91" s="208"/>
      <c r="Q91" s="208"/>
      <c r="R91" s="208"/>
      <c r="S91" s="208"/>
      <c r="T91" s="208"/>
      <c r="U91" s="208"/>
      <c r="V91" s="208"/>
      <c r="W91" s="208"/>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4"/>
      <c r="BJ91" s="4"/>
    </row>
    <row r="92" spans="1:70" s="211" customFormat="1" ht="82.5" customHeight="1" outlineLevel="1" x14ac:dyDescent="0.2">
      <c r="A92" s="113">
        <v>29</v>
      </c>
      <c r="B92" s="168" t="s">
        <v>305</v>
      </c>
      <c r="C92" s="168" t="s">
        <v>306</v>
      </c>
      <c r="D92" s="177"/>
      <c r="E92" s="168" t="s">
        <v>307</v>
      </c>
      <c r="F92" s="168">
        <v>1</v>
      </c>
      <c r="G92" s="168" t="s">
        <v>308</v>
      </c>
      <c r="H92" s="168" t="s">
        <v>309</v>
      </c>
      <c r="I92" s="168" t="s">
        <v>200</v>
      </c>
      <c r="J92" s="147">
        <v>0</v>
      </c>
      <c r="K92" s="108">
        <v>2000</v>
      </c>
      <c r="L92" s="108">
        <f>3000+5000</f>
        <v>8000</v>
      </c>
      <c r="M92" s="108"/>
      <c r="N92" s="108"/>
      <c r="O92" s="172">
        <f>L92+M92+N92</f>
        <v>8000</v>
      </c>
      <c r="P92" s="108"/>
      <c r="Q92" s="108"/>
      <c r="R92" s="108"/>
      <c r="S92" s="108"/>
      <c r="T92" s="108"/>
      <c r="U92" s="108"/>
      <c r="V92" s="108"/>
      <c r="W92" s="146">
        <f>O92+P92+Q92+R92+S92+T92+U92+V92</f>
        <v>8000</v>
      </c>
      <c r="X92" s="174">
        <f>K92+L92+M92+N92+P92+Q92+R92+S92+T92+U92+V92</f>
        <v>10000</v>
      </c>
      <c r="Y92" s="175"/>
      <c r="Z92" s="175" t="s">
        <v>215</v>
      </c>
      <c r="AA92" s="147" t="s">
        <v>310</v>
      </c>
      <c r="AB92" s="62"/>
      <c r="AC92" s="63"/>
      <c r="AD92" s="63" t="e">
        <f>'[1]Enköp renov 5112'!L8</f>
        <v>#REF!</v>
      </c>
      <c r="AE92" s="63" t="e">
        <f>'[1]Enköp renov 5112'!M8</f>
        <v>#REF!</v>
      </c>
      <c r="AF92" s="63" t="e">
        <f>'[1]Enköp renov 5112'!N8</f>
        <v>#REF!</v>
      </c>
      <c r="AG92" s="63" t="e">
        <f>'[1]Enköp renov 5112'!O8</f>
        <v>#REF!</v>
      </c>
      <c r="AH92" s="63" t="e">
        <f>'[1]Enköp renov 5112'!P8</f>
        <v>#REF!</v>
      </c>
      <c r="AI92" s="63" t="e">
        <f>'[1]Enköp renov 5112'!Q8</f>
        <v>#REF!</v>
      </c>
      <c r="AJ92" s="63" t="e">
        <f>'[1]Enköp renov 5112'!R8</f>
        <v>#REF!</v>
      </c>
      <c r="AK92" s="63" t="e">
        <f>'[1]Enköp renov 5112'!S8</f>
        <v>#REF!</v>
      </c>
      <c r="AL92" s="63" t="e">
        <f>'[1]Enköp renov 5112'!T8</f>
        <v>#REF!</v>
      </c>
      <c r="AM92" s="62"/>
      <c r="AN92" s="64"/>
      <c r="AO92" s="64" t="e">
        <f>-'[1]Enköp renov 5112'!L22</f>
        <v>#REF!</v>
      </c>
      <c r="AP92" s="64" t="e">
        <f>-'[1]Enköp renov 5112'!M22</f>
        <v>#REF!</v>
      </c>
      <c r="AQ92" s="64" t="e">
        <f>-'[1]Enköp renov 5112'!N22</f>
        <v>#REF!</v>
      </c>
      <c r="AR92" s="64" t="e">
        <f>-'[1]Enköp renov 5112'!O22</f>
        <v>#REF!</v>
      </c>
      <c r="AS92" s="64" t="e">
        <f>-'[1]Enköp renov 5112'!P22</f>
        <v>#REF!</v>
      </c>
      <c r="AT92" s="64" t="e">
        <f>-'[1]Enköp renov 5112'!Q22</f>
        <v>#REF!</v>
      </c>
      <c r="AU92" s="64" t="e">
        <f>-'[1]Enköp renov 5112'!R22</f>
        <v>#REF!</v>
      </c>
      <c r="AV92" s="64" t="e">
        <f>-'[1]Enköp renov 5112'!S22</f>
        <v>#REF!</v>
      </c>
      <c r="AW92" s="64" t="e">
        <f>-'[1]Enköp renov 5112'!T22</f>
        <v>#REF!</v>
      </c>
      <c r="AX92" s="65"/>
      <c r="AY92" s="65"/>
      <c r="AZ92" s="65"/>
      <c r="BA92" s="65"/>
      <c r="BB92" s="65"/>
      <c r="BC92" s="65"/>
      <c r="BD92" s="65"/>
      <c r="BE92" s="65"/>
      <c r="BF92" s="65"/>
      <c r="BG92" s="65"/>
      <c r="BH92" s="65"/>
      <c r="BI92" s="210"/>
      <c r="BJ92" s="210"/>
    </row>
    <row r="93" spans="1:70" s="211" customFormat="1" ht="32" outlineLevel="1" x14ac:dyDescent="0.2">
      <c r="A93" s="212">
        <v>30</v>
      </c>
      <c r="B93" s="168" t="s">
        <v>305</v>
      </c>
      <c r="C93" s="168" t="s">
        <v>311</v>
      </c>
      <c r="D93" s="177" t="s">
        <v>312</v>
      </c>
      <c r="E93" s="168" t="s">
        <v>313</v>
      </c>
      <c r="F93" s="168">
        <v>2</v>
      </c>
      <c r="G93" s="168" t="s">
        <v>314</v>
      </c>
      <c r="H93" s="168" t="s">
        <v>199</v>
      </c>
      <c r="I93" s="168" t="s">
        <v>200</v>
      </c>
      <c r="J93" s="147">
        <v>0</v>
      </c>
      <c r="K93" s="108"/>
      <c r="L93" s="108">
        <v>3000</v>
      </c>
      <c r="M93" s="108"/>
      <c r="N93" s="108"/>
      <c r="O93" s="172">
        <f t="shared" ref="O93:O100" si="64">L93+M93+N93</f>
        <v>3000</v>
      </c>
      <c r="P93" s="108"/>
      <c r="Q93" s="108"/>
      <c r="R93" s="108"/>
      <c r="S93" s="108"/>
      <c r="T93" s="108"/>
      <c r="U93" s="108"/>
      <c r="V93" s="108"/>
      <c r="W93" s="146">
        <f t="shared" ref="W93:W100" si="65">O93+P93+Q93+R93+S93+T93+U93+V93</f>
        <v>3000</v>
      </c>
      <c r="X93" s="174">
        <f t="shared" ref="X93:X99" si="66">K93+L93+M93+N93+P93+Q93+R93+S93+T93+U93+V93</f>
        <v>3000</v>
      </c>
      <c r="Y93" s="175"/>
      <c r="Z93" s="175" t="s">
        <v>225</v>
      </c>
      <c r="AA93" s="147"/>
      <c r="AB93" s="62"/>
      <c r="AC93" s="63"/>
      <c r="AD93" s="63" t="e">
        <f>'[1]Enköp med avd 1 o 2'!L8</f>
        <v>#REF!</v>
      </c>
      <c r="AE93" s="63" t="e">
        <f>'[1]Enköp med avd 1 o 2'!M8</f>
        <v>#REF!</v>
      </c>
      <c r="AF93" s="63" t="e">
        <f>'[1]Enköp med avd 1 o 2'!N8</f>
        <v>#REF!</v>
      </c>
      <c r="AG93" s="63" t="e">
        <f>'[1]Enköp med avd 1 o 2'!O8</f>
        <v>#REF!</v>
      </c>
      <c r="AH93" s="63" t="e">
        <f>'[1]Enköp med avd 1 o 2'!P8</f>
        <v>#REF!</v>
      </c>
      <c r="AI93" s="63" t="e">
        <f>'[1]Enköp med avd 1 o 2'!Q8</f>
        <v>#REF!</v>
      </c>
      <c r="AJ93" s="63" t="e">
        <f>'[1]Enköp med avd 1 o 2'!R8</f>
        <v>#REF!</v>
      </c>
      <c r="AK93" s="63" t="e">
        <f>'[1]Enköp med avd 1 o 2'!S8</f>
        <v>#REF!</v>
      </c>
      <c r="AL93" s="63" t="e">
        <f>'[1]Enköp med avd 1 o 2'!T8</f>
        <v>#REF!</v>
      </c>
      <c r="AM93" s="62"/>
      <c r="AN93" s="64"/>
      <c r="AO93" s="64" t="e">
        <f>-'[1]Enköp med avd 1 o 2'!L22</f>
        <v>#REF!</v>
      </c>
      <c r="AP93" s="64" t="e">
        <f>-'[1]Enköp med avd 1 o 2'!M22</f>
        <v>#REF!</v>
      </c>
      <c r="AQ93" s="64" t="e">
        <f>-'[1]Enköp med avd 1 o 2'!N22</f>
        <v>#REF!</v>
      </c>
      <c r="AR93" s="64" t="e">
        <f>-'[1]Enköp med avd 1 o 2'!O22</f>
        <v>#REF!</v>
      </c>
      <c r="AS93" s="64" t="e">
        <f>-'[1]Enköp med avd 1 o 2'!P22</f>
        <v>#REF!</v>
      </c>
      <c r="AT93" s="64" t="e">
        <f>-'[1]Enköp med avd 1 o 2'!Q22</f>
        <v>#REF!</v>
      </c>
      <c r="AU93" s="64" t="e">
        <f>-'[1]Enköp med avd 1 o 2'!R22</f>
        <v>#REF!</v>
      </c>
      <c r="AV93" s="64" t="e">
        <f>-'[1]Enköp med avd 1 o 2'!S22</f>
        <v>#REF!</v>
      </c>
      <c r="AW93" s="64" t="e">
        <f>-'[1]Enköp med avd 1 o 2'!T22</f>
        <v>#REF!</v>
      </c>
      <c r="AX93" s="65"/>
      <c r="AY93" s="65"/>
      <c r="AZ93" s="65"/>
      <c r="BA93" s="65"/>
      <c r="BB93" s="65"/>
      <c r="BC93" s="65"/>
      <c r="BD93" s="65"/>
      <c r="BE93" s="65"/>
      <c r="BF93" s="65"/>
      <c r="BG93" s="65"/>
      <c r="BH93" s="65"/>
      <c r="BI93" s="210"/>
      <c r="BJ93" s="210"/>
    </row>
    <row r="94" spans="1:70" s="211" customFormat="1" ht="64" outlineLevel="1" x14ac:dyDescent="0.2">
      <c r="A94" s="212">
        <v>31</v>
      </c>
      <c r="B94" s="168" t="s">
        <v>305</v>
      </c>
      <c r="C94" s="168" t="s">
        <v>315</v>
      </c>
      <c r="D94" s="177" t="s">
        <v>312</v>
      </c>
      <c r="E94" s="168" t="s">
        <v>316</v>
      </c>
      <c r="F94" s="168">
        <v>4</v>
      </c>
      <c r="G94" s="168" t="s">
        <v>317</v>
      </c>
      <c r="H94" s="168" t="s">
        <v>199</v>
      </c>
      <c r="I94" s="168" t="s">
        <v>200</v>
      </c>
      <c r="J94" s="147">
        <v>0</v>
      </c>
      <c r="K94" s="108"/>
      <c r="L94" s="108"/>
      <c r="M94" s="108"/>
      <c r="N94" s="108"/>
      <c r="O94" s="172">
        <f t="shared" si="64"/>
        <v>0</v>
      </c>
      <c r="P94" s="108"/>
      <c r="Q94" s="108">
        <v>5000</v>
      </c>
      <c r="R94" s="108">
        <v>25000</v>
      </c>
      <c r="S94" s="108">
        <v>12500</v>
      </c>
      <c r="T94" s="108"/>
      <c r="U94" s="108"/>
      <c r="V94" s="108"/>
      <c r="W94" s="146">
        <f t="shared" si="65"/>
        <v>42500</v>
      </c>
      <c r="X94" s="174">
        <f t="shared" si="66"/>
        <v>42500</v>
      </c>
      <c r="Y94" s="175"/>
      <c r="Z94" s="175" t="s">
        <v>202</v>
      </c>
      <c r="AA94" s="147" t="s">
        <v>318</v>
      </c>
      <c r="AB94" s="62"/>
      <c r="AC94" s="63"/>
      <c r="AD94" s="63"/>
      <c r="AE94" s="63"/>
      <c r="AF94" s="63"/>
      <c r="AG94" s="63"/>
      <c r="AH94" s="63" t="e">
        <f>'[1]Enköp enkelrum'!L8*50%</f>
        <v>#REF!</v>
      </c>
      <c r="AI94" s="63" t="e">
        <f>'[1]Enköp enkelrum'!M8*50%</f>
        <v>#REF!</v>
      </c>
      <c r="AJ94" s="63" t="e">
        <f>'[1]Enköp enkelrum'!N8*50%+'[1]Enköp enkelrum'!L8*50%</f>
        <v>#REF!</v>
      </c>
      <c r="AK94" s="63" t="e">
        <f>'[1]Enköp enkelrum'!O8*50%+'[1]Enköp enkelrum'!M8*50%</f>
        <v>#REF!</v>
      </c>
      <c r="AL94" s="63" t="e">
        <f>'[1]Enköp enkelrum'!P8*50%+'[1]Enköp enkelrum'!N8*50%</f>
        <v>#REF!</v>
      </c>
      <c r="AM94" s="62"/>
      <c r="AN94" s="64"/>
      <c r="AO94" s="64"/>
      <c r="AP94" s="64"/>
      <c r="AQ94" s="64"/>
      <c r="AR94" s="64"/>
      <c r="AS94" s="64" t="e">
        <f>-'[1]Enköp enkelrum'!L22*50%</f>
        <v>#REF!</v>
      </c>
      <c r="AT94" s="64" t="e">
        <f>-'[1]Enköp enkelrum'!M22*50%</f>
        <v>#REF!</v>
      </c>
      <c r="AU94" s="64" t="e">
        <f>-'[1]Enköp enkelrum'!N22*50%-'[1]Enköp enkelrum'!L22*50%</f>
        <v>#REF!</v>
      </c>
      <c r="AV94" s="64" t="e">
        <f>-'[1]Enköp enkelrum'!O22*50%-'[1]Enköp enkelrum'!M22*50%</f>
        <v>#REF!</v>
      </c>
      <c r="AW94" s="64" t="e">
        <f>-'[1]Enköp enkelrum'!P22*50%-'[1]Enköp enkelrum'!N22*50%</f>
        <v>#REF!</v>
      </c>
      <c r="AX94" s="65"/>
      <c r="AY94" s="65"/>
      <c r="AZ94" s="65"/>
      <c r="BA94" s="65"/>
      <c r="BB94" s="65"/>
      <c r="BC94" s="65"/>
      <c r="BD94" s="65"/>
      <c r="BE94" s="65"/>
      <c r="BF94" s="65"/>
      <c r="BG94" s="65"/>
      <c r="BH94" s="65"/>
      <c r="BI94" s="210"/>
      <c r="BJ94" s="210"/>
    </row>
    <row r="95" spans="1:70" s="211" customFormat="1" ht="64" outlineLevel="1" x14ac:dyDescent="0.2">
      <c r="A95" s="212">
        <v>32</v>
      </c>
      <c r="B95" s="168" t="s">
        <v>305</v>
      </c>
      <c r="C95" s="168" t="s">
        <v>319</v>
      </c>
      <c r="D95" s="177" t="s">
        <v>312</v>
      </c>
      <c r="E95" s="168" t="s">
        <v>320</v>
      </c>
      <c r="F95" s="168">
        <v>1</v>
      </c>
      <c r="G95" s="168" t="s">
        <v>321</v>
      </c>
      <c r="H95" s="168" t="s">
        <v>199</v>
      </c>
      <c r="I95" s="168" t="s">
        <v>200</v>
      </c>
      <c r="J95" s="147">
        <v>0</v>
      </c>
      <c r="K95" s="108"/>
      <c r="L95" s="108">
        <v>10000</v>
      </c>
      <c r="M95" s="108"/>
      <c r="N95" s="108"/>
      <c r="O95" s="172">
        <f t="shared" si="64"/>
        <v>10000</v>
      </c>
      <c r="P95" s="108"/>
      <c r="Q95" s="108"/>
      <c r="R95" s="108"/>
      <c r="S95" s="108"/>
      <c r="T95" s="108"/>
      <c r="U95" s="108"/>
      <c r="V95" s="108"/>
      <c r="W95" s="146">
        <f t="shared" si="65"/>
        <v>10000</v>
      </c>
      <c r="X95" s="174">
        <f t="shared" si="66"/>
        <v>10000</v>
      </c>
      <c r="Y95" s="175"/>
      <c r="Z95" s="175" t="s">
        <v>202</v>
      </c>
      <c r="AA95" s="147" t="s">
        <v>322</v>
      </c>
      <c r="AB95" s="62"/>
      <c r="AC95" s="63"/>
      <c r="AD95" s="63" t="e">
        <f>'[1]Enköp utök sterilen'!L8</f>
        <v>#REF!</v>
      </c>
      <c r="AE95" s="63" t="e">
        <f>'[1]Enköp utök sterilen'!M8</f>
        <v>#REF!</v>
      </c>
      <c r="AF95" s="63" t="e">
        <f>'[1]Enköp utök sterilen'!N8</f>
        <v>#REF!</v>
      </c>
      <c r="AG95" s="63" t="e">
        <f>'[1]Enköp utök sterilen'!O8</f>
        <v>#REF!</v>
      </c>
      <c r="AH95" s="63" t="e">
        <f>'[1]Enköp utök sterilen'!P8</f>
        <v>#REF!</v>
      </c>
      <c r="AI95" s="63" t="e">
        <f>'[1]Enköp utök sterilen'!Q8</f>
        <v>#REF!</v>
      </c>
      <c r="AJ95" s="63" t="e">
        <f>'[1]Enköp utök sterilen'!R8</f>
        <v>#REF!</v>
      </c>
      <c r="AK95" s="63" t="e">
        <f>'[1]Enköp utök sterilen'!S8</f>
        <v>#REF!</v>
      </c>
      <c r="AL95" s="63" t="e">
        <f>'[1]Enköp utök sterilen'!T8</f>
        <v>#REF!</v>
      </c>
      <c r="AM95" s="62"/>
      <c r="AN95" s="64"/>
      <c r="AO95" s="64" t="e">
        <f>-'[1]Enköp utök sterilen'!L22</f>
        <v>#REF!</v>
      </c>
      <c r="AP95" s="64" t="e">
        <f>-'[1]Enköp utök sterilen'!M22</f>
        <v>#REF!</v>
      </c>
      <c r="AQ95" s="64" t="e">
        <f>-'[1]Enköp utök sterilen'!N22</f>
        <v>#REF!</v>
      </c>
      <c r="AR95" s="64" t="e">
        <f>-'[1]Enköp utök sterilen'!O22</f>
        <v>#REF!</v>
      </c>
      <c r="AS95" s="64" t="e">
        <f>-'[1]Enköp utök sterilen'!P22</f>
        <v>#REF!</v>
      </c>
      <c r="AT95" s="64" t="e">
        <f>-'[1]Enköp utök sterilen'!Q22</f>
        <v>#REF!</v>
      </c>
      <c r="AU95" s="64" t="e">
        <f>-'[1]Enköp utök sterilen'!R22</f>
        <v>#REF!</v>
      </c>
      <c r="AV95" s="64" t="e">
        <f>-'[1]Enköp utök sterilen'!S22</f>
        <v>#REF!</v>
      </c>
      <c r="AW95" s="64" t="e">
        <f>-'[1]Enköp utök sterilen'!T22</f>
        <v>#REF!</v>
      </c>
      <c r="AX95" s="65"/>
      <c r="AY95" s="65"/>
      <c r="AZ95" s="65"/>
      <c r="BA95" s="65"/>
      <c r="BB95" s="65"/>
      <c r="BC95" s="65"/>
      <c r="BD95" s="65"/>
      <c r="BE95" s="65"/>
      <c r="BF95" s="65"/>
      <c r="BG95" s="65"/>
      <c r="BH95" s="65"/>
      <c r="BI95" s="210"/>
      <c r="BJ95" s="210"/>
    </row>
    <row r="96" spans="1:70" s="211" customFormat="1" ht="64" outlineLevel="1" x14ac:dyDescent="0.2">
      <c r="A96" s="212">
        <v>33</v>
      </c>
      <c r="B96" s="168" t="s">
        <v>305</v>
      </c>
      <c r="C96" s="168" t="s">
        <v>323</v>
      </c>
      <c r="D96" s="177" t="s">
        <v>312</v>
      </c>
      <c r="E96" s="168"/>
      <c r="F96" s="168">
        <v>1</v>
      </c>
      <c r="G96" s="168" t="s">
        <v>324</v>
      </c>
      <c r="H96" s="168" t="s">
        <v>199</v>
      </c>
      <c r="I96" s="168" t="s">
        <v>200</v>
      </c>
      <c r="J96" s="147">
        <v>0</v>
      </c>
      <c r="K96" s="108"/>
      <c r="L96" s="108"/>
      <c r="M96" s="108">
        <v>3000</v>
      </c>
      <c r="N96" s="108"/>
      <c r="O96" s="172">
        <f t="shared" si="64"/>
        <v>3000</v>
      </c>
      <c r="P96" s="108"/>
      <c r="Q96" s="108"/>
      <c r="R96" s="108"/>
      <c r="S96" s="108"/>
      <c r="T96" s="108"/>
      <c r="U96" s="108"/>
      <c r="V96" s="108"/>
      <c r="W96" s="146">
        <f t="shared" si="65"/>
        <v>3000</v>
      </c>
      <c r="X96" s="174">
        <f t="shared" si="66"/>
        <v>3000</v>
      </c>
      <c r="Y96" s="175"/>
      <c r="Z96" s="175" t="s">
        <v>202</v>
      </c>
      <c r="AA96" s="147" t="s">
        <v>322</v>
      </c>
      <c r="AB96" s="62"/>
      <c r="AC96" s="63"/>
      <c r="AD96" s="63"/>
      <c r="AE96" s="63" t="e">
        <f>'[1]Enköp förbättra flöden op'!L8</f>
        <v>#REF!</v>
      </c>
      <c r="AF96" s="63" t="e">
        <f>'[1]Enköp förbättra flöden op'!M8</f>
        <v>#REF!</v>
      </c>
      <c r="AG96" s="63" t="e">
        <f>'[1]Enköp förbättra flöden op'!N8</f>
        <v>#REF!</v>
      </c>
      <c r="AH96" s="63" t="e">
        <f>'[1]Enköp förbättra flöden op'!O8</f>
        <v>#REF!</v>
      </c>
      <c r="AI96" s="63" t="e">
        <f>'[1]Enköp förbättra flöden op'!P8</f>
        <v>#REF!</v>
      </c>
      <c r="AJ96" s="63" t="e">
        <f>'[1]Enköp förbättra flöden op'!Q8</f>
        <v>#REF!</v>
      </c>
      <c r="AK96" s="63" t="e">
        <f>'[1]Enköp förbättra flöden op'!R8</f>
        <v>#REF!</v>
      </c>
      <c r="AL96" s="63" t="e">
        <f>'[1]Enköp förbättra flöden op'!S8</f>
        <v>#REF!</v>
      </c>
      <c r="AM96" s="62"/>
      <c r="AN96" s="64"/>
      <c r="AO96" s="64"/>
      <c r="AP96" s="64" t="e">
        <f>-'[1]Enköp förbättra flöden op'!L22</f>
        <v>#REF!</v>
      </c>
      <c r="AQ96" s="64" t="e">
        <f>-'[1]Enköp förbättra flöden op'!M22</f>
        <v>#REF!</v>
      </c>
      <c r="AR96" s="64" t="e">
        <f>-'[1]Enköp förbättra flöden op'!N22</f>
        <v>#REF!</v>
      </c>
      <c r="AS96" s="64" t="e">
        <f>-'[1]Enköp förbättra flöden op'!O22</f>
        <v>#REF!</v>
      </c>
      <c r="AT96" s="64" t="e">
        <f>-'[1]Enköp förbättra flöden op'!P22</f>
        <v>#REF!</v>
      </c>
      <c r="AU96" s="64" t="e">
        <f>-'[1]Enköp förbättra flöden op'!Q22</f>
        <v>#REF!</v>
      </c>
      <c r="AV96" s="64" t="e">
        <f>-'[1]Enköp förbättra flöden op'!R22</f>
        <v>#REF!</v>
      </c>
      <c r="AW96" s="64" t="e">
        <f>-'[1]Enköp förbättra flöden op'!S22</f>
        <v>#REF!</v>
      </c>
      <c r="AX96" s="65"/>
      <c r="AY96" s="65"/>
      <c r="AZ96" s="65"/>
      <c r="BA96" s="65"/>
      <c r="BB96" s="65"/>
      <c r="BC96" s="65"/>
      <c r="BD96" s="65"/>
      <c r="BE96" s="65"/>
      <c r="BF96" s="65"/>
      <c r="BG96" s="65"/>
      <c r="BH96" s="65"/>
      <c r="BI96" s="210"/>
      <c r="BJ96" s="210"/>
    </row>
    <row r="97" spans="1:62" s="211" customFormat="1" ht="16" outlineLevel="1" x14ac:dyDescent="0.2">
      <c r="A97" s="212">
        <v>34</v>
      </c>
      <c r="B97" s="168" t="s">
        <v>305</v>
      </c>
      <c r="C97" s="168" t="s">
        <v>325</v>
      </c>
      <c r="D97" s="177" t="s">
        <v>312</v>
      </c>
      <c r="E97" s="168"/>
      <c r="F97" s="168">
        <v>2</v>
      </c>
      <c r="G97" s="168" t="s">
        <v>326</v>
      </c>
      <c r="H97" s="168" t="s">
        <v>199</v>
      </c>
      <c r="I97" s="168" t="s">
        <v>200</v>
      </c>
      <c r="J97" s="147">
        <v>0</v>
      </c>
      <c r="K97" s="108"/>
      <c r="L97" s="108"/>
      <c r="M97" s="108">
        <v>2000</v>
      </c>
      <c r="N97" s="108"/>
      <c r="O97" s="172">
        <f t="shared" si="64"/>
        <v>2000</v>
      </c>
      <c r="P97" s="108"/>
      <c r="Q97" s="108"/>
      <c r="R97" s="108"/>
      <c r="S97" s="108"/>
      <c r="T97" s="108"/>
      <c r="U97" s="108"/>
      <c r="V97" s="108"/>
      <c r="W97" s="146">
        <f t="shared" si="65"/>
        <v>2000</v>
      </c>
      <c r="X97" s="174">
        <f t="shared" si="66"/>
        <v>2000</v>
      </c>
      <c r="Y97" s="175"/>
      <c r="Z97" s="175" t="s">
        <v>225</v>
      </c>
      <c r="AA97" s="147"/>
      <c r="AB97" s="62"/>
      <c r="AC97" s="63"/>
      <c r="AD97" s="63"/>
      <c r="AE97" s="63" t="e">
        <f>'[1]Enköp utökning kyla'!L8</f>
        <v>#REF!</v>
      </c>
      <c r="AF97" s="63" t="e">
        <f>'[1]Enköp utökning kyla'!M8</f>
        <v>#REF!</v>
      </c>
      <c r="AG97" s="63" t="e">
        <f>'[1]Enköp utökning kyla'!N8</f>
        <v>#REF!</v>
      </c>
      <c r="AH97" s="63" t="e">
        <f>'[1]Enköp utökning kyla'!O8</f>
        <v>#REF!</v>
      </c>
      <c r="AI97" s="63" t="e">
        <f>'[1]Enköp utökning kyla'!P8</f>
        <v>#REF!</v>
      </c>
      <c r="AJ97" s="63" t="e">
        <f>'[1]Enköp utökning kyla'!Q8</f>
        <v>#REF!</v>
      </c>
      <c r="AK97" s="63" t="e">
        <f>'[1]Enköp utökning kyla'!R8</f>
        <v>#REF!</v>
      </c>
      <c r="AL97" s="63" t="e">
        <f>'[1]Enköp utökning kyla'!S8</f>
        <v>#REF!</v>
      </c>
      <c r="AM97" s="62"/>
      <c r="AN97" s="64"/>
      <c r="AO97" s="64"/>
      <c r="AP97" s="64" t="e">
        <f>-'[1]Enköp utökning kyla'!L22</f>
        <v>#REF!</v>
      </c>
      <c r="AQ97" s="64" t="e">
        <f>-'[1]Enköp utökning kyla'!M22</f>
        <v>#REF!</v>
      </c>
      <c r="AR97" s="64" t="e">
        <f>-'[1]Enköp utökning kyla'!N22</f>
        <v>#REF!</v>
      </c>
      <c r="AS97" s="64" t="e">
        <f>-'[1]Enköp utökning kyla'!O22</f>
        <v>#REF!</v>
      </c>
      <c r="AT97" s="64" t="e">
        <f>-'[1]Enköp utökning kyla'!P22</f>
        <v>#REF!</v>
      </c>
      <c r="AU97" s="64" t="e">
        <f>-'[1]Enköp utökning kyla'!Q22</f>
        <v>#REF!</v>
      </c>
      <c r="AV97" s="64" t="e">
        <f>-'[1]Enköp utökning kyla'!R22</f>
        <v>#REF!</v>
      </c>
      <c r="AW97" s="64" t="e">
        <f>-'[1]Enköp utökning kyla'!S22</f>
        <v>#REF!</v>
      </c>
      <c r="AX97" s="65"/>
      <c r="AY97" s="65"/>
      <c r="AZ97" s="65"/>
      <c r="BA97" s="65"/>
      <c r="BB97" s="65"/>
      <c r="BC97" s="65"/>
      <c r="BD97" s="65"/>
      <c r="BE97" s="65"/>
      <c r="BF97" s="65"/>
      <c r="BG97" s="65"/>
      <c r="BH97" s="65"/>
      <c r="BI97" s="210"/>
      <c r="BJ97" s="210"/>
    </row>
    <row r="98" spans="1:62" s="211" customFormat="1" ht="32" outlineLevel="1" x14ac:dyDescent="0.2">
      <c r="A98" s="212">
        <v>35</v>
      </c>
      <c r="B98" s="168" t="s">
        <v>305</v>
      </c>
      <c r="C98" s="168" t="s">
        <v>327</v>
      </c>
      <c r="D98" s="177" t="s">
        <v>312</v>
      </c>
      <c r="E98" s="168"/>
      <c r="F98" s="168">
        <v>2</v>
      </c>
      <c r="G98" s="168" t="s">
        <v>328</v>
      </c>
      <c r="H98" s="168" t="s">
        <v>199</v>
      </c>
      <c r="I98" s="168" t="s">
        <v>200</v>
      </c>
      <c r="J98" s="147">
        <v>0</v>
      </c>
      <c r="K98" s="189"/>
      <c r="L98" s="189"/>
      <c r="M98" s="108">
        <v>500</v>
      </c>
      <c r="N98" s="108"/>
      <c r="O98" s="172">
        <f t="shared" si="64"/>
        <v>500</v>
      </c>
      <c r="P98" s="108"/>
      <c r="Q98" s="108"/>
      <c r="R98" s="108"/>
      <c r="S98" s="108"/>
      <c r="T98" s="108"/>
      <c r="U98" s="108"/>
      <c r="V98" s="108"/>
      <c r="W98" s="146">
        <f t="shared" si="65"/>
        <v>500</v>
      </c>
      <c r="X98" s="174">
        <f t="shared" si="66"/>
        <v>500</v>
      </c>
      <c r="Y98" s="175"/>
      <c r="Z98" s="175" t="s">
        <v>225</v>
      </c>
      <c r="AA98" s="147"/>
      <c r="AB98" s="62"/>
      <c r="AC98" s="63"/>
      <c r="AD98" s="63"/>
      <c r="AE98" s="63" t="e">
        <f>'[1]Enköp behov adm lok kirurg'!L8</f>
        <v>#REF!</v>
      </c>
      <c r="AF98" s="63" t="e">
        <f>'[1]Enköp behov adm lok kirurg'!M8</f>
        <v>#REF!</v>
      </c>
      <c r="AG98" s="63" t="e">
        <f>'[1]Enköp behov adm lok kirurg'!N8</f>
        <v>#REF!</v>
      </c>
      <c r="AH98" s="63" t="e">
        <f>'[1]Enköp behov adm lok kirurg'!O8</f>
        <v>#REF!</v>
      </c>
      <c r="AI98" s="63" t="e">
        <f>'[1]Enköp behov adm lok kirurg'!P8</f>
        <v>#REF!</v>
      </c>
      <c r="AJ98" s="63" t="e">
        <f>'[1]Enköp behov adm lok kirurg'!Q8</f>
        <v>#REF!</v>
      </c>
      <c r="AK98" s="63" t="e">
        <f>'[1]Enköp behov adm lok kirurg'!R8</f>
        <v>#REF!</v>
      </c>
      <c r="AL98" s="63" t="e">
        <f>'[1]Enköp behov adm lok kirurg'!S8</f>
        <v>#REF!</v>
      </c>
      <c r="AM98" s="62"/>
      <c r="AN98" s="64"/>
      <c r="AO98" s="64"/>
      <c r="AP98" s="64" t="e">
        <f>-'[1]Enköp behov adm lok kirurg'!L22</f>
        <v>#REF!</v>
      </c>
      <c r="AQ98" s="64" t="e">
        <f>-'[1]Enköp behov adm lok kirurg'!M22</f>
        <v>#REF!</v>
      </c>
      <c r="AR98" s="64" t="e">
        <f>-'[1]Enköp behov adm lok kirurg'!N22</f>
        <v>#REF!</v>
      </c>
      <c r="AS98" s="64" t="e">
        <f>-'[1]Enköp behov adm lok kirurg'!O22</f>
        <v>#REF!</v>
      </c>
      <c r="AT98" s="64" t="e">
        <f>-'[1]Enköp behov adm lok kirurg'!P22</f>
        <v>#REF!</v>
      </c>
      <c r="AU98" s="64" t="e">
        <f>-'[1]Enköp behov adm lok kirurg'!Q22</f>
        <v>#REF!</v>
      </c>
      <c r="AV98" s="64" t="e">
        <f>-'[1]Enköp behov adm lok kirurg'!R22</f>
        <v>#REF!</v>
      </c>
      <c r="AW98" s="64" t="e">
        <f>-'[1]Enköp behov adm lok kirurg'!S22</f>
        <v>#REF!</v>
      </c>
      <c r="AX98" s="65"/>
      <c r="AY98" s="65"/>
      <c r="AZ98" s="65"/>
      <c r="BA98" s="65"/>
      <c r="BB98" s="65"/>
      <c r="BC98" s="65"/>
      <c r="BD98" s="65"/>
      <c r="BE98" s="65"/>
      <c r="BF98" s="65"/>
      <c r="BG98" s="65"/>
      <c r="BH98" s="65"/>
      <c r="BI98" s="210"/>
      <c r="BJ98" s="210"/>
    </row>
    <row r="99" spans="1:62" s="211" customFormat="1" ht="96" outlineLevel="1" x14ac:dyDescent="0.2">
      <c r="A99" s="212">
        <v>36</v>
      </c>
      <c r="B99" s="186" t="s">
        <v>305</v>
      </c>
      <c r="C99" s="186" t="s">
        <v>329</v>
      </c>
      <c r="D99" s="187" t="s">
        <v>312</v>
      </c>
      <c r="E99" s="186"/>
      <c r="F99" s="168">
        <v>2</v>
      </c>
      <c r="G99" s="168" t="s">
        <v>330</v>
      </c>
      <c r="H99" s="168" t="s">
        <v>199</v>
      </c>
      <c r="I99" s="168" t="s">
        <v>200</v>
      </c>
      <c r="J99" s="147">
        <v>0</v>
      </c>
      <c r="K99" s="108"/>
      <c r="L99" s="108"/>
      <c r="M99" s="108"/>
      <c r="N99" s="108"/>
      <c r="O99" s="172">
        <f t="shared" si="64"/>
        <v>0</v>
      </c>
      <c r="P99" s="180">
        <v>0</v>
      </c>
      <c r="Q99" s="180">
        <v>0</v>
      </c>
      <c r="R99" s="180">
        <v>0</v>
      </c>
      <c r="S99" s="180">
        <v>1000</v>
      </c>
      <c r="T99" s="180">
        <v>7500</v>
      </c>
      <c r="U99" s="180">
        <v>7500</v>
      </c>
      <c r="V99" s="108"/>
      <c r="W99" s="146">
        <f t="shared" si="65"/>
        <v>16000</v>
      </c>
      <c r="X99" s="174">
        <f t="shared" si="66"/>
        <v>16000</v>
      </c>
      <c r="Y99" s="175"/>
      <c r="Z99" s="175" t="s">
        <v>202</v>
      </c>
      <c r="AA99" s="147" t="s">
        <v>331</v>
      </c>
      <c r="AB99" s="62"/>
      <c r="AC99" s="63"/>
      <c r="AD99" s="63"/>
      <c r="AE99" s="63"/>
      <c r="AF99" s="63"/>
      <c r="AG99" s="63"/>
      <c r="AH99" s="63"/>
      <c r="AI99" s="181">
        <v>0</v>
      </c>
      <c r="AJ99" s="180">
        <v>0</v>
      </c>
      <c r="AK99" s="180">
        <v>0</v>
      </c>
      <c r="AL99" s="180" t="e">
        <f>'[1]Enköp ny, större huvudentré'!L8</f>
        <v>#REF!</v>
      </c>
      <c r="AM99" s="62"/>
      <c r="AN99" s="64"/>
      <c r="AO99" s="64"/>
      <c r="AP99" s="64"/>
      <c r="AQ99" s="64"/>
      <c r="AR99" s="64"/>
      <c r="AS99" s="64"/>
      <c r="AT99" s="181">
        <v>0</v>
      </c>
      <c r="AU99" s="180">
        <v>0</v>
      </c>
      <c r="AV99" s="180">
        <v>0</v>
      </c>
      <c r="AW99" s="180" t="e">
        <f>-'[1]Enköp ny, större huvudentré'!L22</f>
        <v>#REF!</v>
      </c>
      <c r="AX99" s="65"/>
      <c r="AY99" s="65"/>
      <c r="AZ99" s="65"/>
      <c r="BA99" s="65"/>
      <c r="BB99" s="65"/>
      <c r="BC99" s="65"/>
      <c r="BD99" s="65"/>
      <c r="BE99" s="65"/>
      <c r="BF99" s="65"/>
      <c r="BG99" s="65"/>
      <c r="BH99" s="65"/>
      <c r="BI99" s="210"/>
      <c r="BJ99" s="210"/>
    </row>
    <row r="100" spans="1:62" s="211" customFormat="1" ht="64" outlineLevel="1" x14ac:dyDescent="0.2">
      <c r="A100" s="212">
        <v>37</v>
      </c>
      <c r="B100" s="168" t="s">
        <v>305</v>
      </c>
      <c r="C100" s="168" t="s">
        <v>332</v>
      </c>
      <c r="D100" s="177" t="s">
        <v>312</v>
      </c>
      <c r="E100" s="168" t="s">
        <v>333</v>
      </c>
      <c r="F100" s="168">
        <v>2</v>
      </c>
      <c r="G100" s="168" t="s">
        <v>334</v>
      </c>
      <c r="H100" s="168" t="s">
        <v>199</v>
      </c>
      <c r="I100" s="168" t="s">
        <v>200</v>
      </c>
      <c r="J100" s="147">
        <v>0</v>
      </c>
      <c r="K100" s="108"/>
      <c r="L100" s="108"/>
      <c r="M100" s="108"/>
      <c r="N100" s="108"/>
      <c r="O100" s="172">
        <f t="shared" si="64"/>
        <v>0</v>
      </c>
      <c r="P100" s="108"/>
      <c r="Q100" s="108">
        <v>500</v>
      </c>
      <c r="R100" s="108"/>
      <c r="S100" s="108"/>
      <c r="T100" s="108"/>
      <c r="U100" s="108"/>
      <c r="V100" s="108"/>
      <c r="W100" s="146">
        <f t="shared" si="65"/>
        <v>500</v>
      </c>
      <c r="X100" s="174">
        <f>K100+L100+M100+N100+P100+Q100+R100+S100+T100+U100+V100</f>
        <v>500</v>
      </c>
      <c r="Y100" s="175"/>
      <c r="Z100" s="175" t="s">
        <v>225</v>
      </c>
      <c r="AA100" s="147" t="s">
        <v>335</v>
      </c>
      <c r="AB100" s="62"/>
      <c r="AC100" s="63"/>
      <c r="AD100" s="63"/>
      <c r="AE100" s="63"/>
      <c r="AF100" s="63"/>
      <c r="AG100" s="63"/>
      <c r="AH100" s="63" t="e">
        <f>'[1]Enköp större väntrum radiologi'!L8</f>
        <v>#REF!</v>
      </c>
      <c r="AI100" s="63" t="e">
        <f>'[1]Enköp större väntrum radiologi'!M8</f>
        <v>#REF!</v>
      </c>
      <c r="AJ100" s="63" t="e">
        <f>'[1]Enköp större väntrum radiologi'!N8</f>
        <v>#REF!</v>
      </c>
      <c r="AK100" s="63" t="e">
        <f>'[1]Enköp större väntrum radiologi'!O8</f>
        <v>#REF!</v>
      </c>
      <c r="AL100" s="63" t="e">
        <f>'[1]Enköp större väntrum radiologi'!P8</f>
        <v>#REF!</v>
      </c>
      <c r="AM100" s="62"/>
      <c r="AN100" s="64"/>
      <c r="AO100" s="64"/>
      <c r="AP100" s="64"/>
      <c r="AQ100" s="64"/>
      <c r="AR100" s="64"/>
      <c r="AS100" s="64" t="e">
        <f>-'[1]Enköp större väntrum radiologi'!L22</f>
        <v>#REF!</v>
      </c>
      <c r="AT100" s="64" t="e">
        <f>-'[1]Enköp större väntrum radiologi'!M22</f>
        <v>#REF!</v>
      </c>
      <c r="AU100" s="64" t="e">
        <f>-'[1]Enköp större väntrum radiologi'!N22</f>
        <v>#REF!</v>
      </c>
      <c r="AV100" s="64" t="e">
        <f>-'[1]Enköp större väntrum radiologi'!O22</f>
        <v>#REF!</v>
      </c>
      <c r="AW100" s="64" t="e">
        <f>-'[1]Enköp större väntrum radiologi'!P22</f>
        <v>#REF!</v>
      </c>
      <c r="AX100" s="65"/>
      <c r="AY100" s="65"/>
      <c r="AZ100" s="65"/>
      <c r="BA100" s="65"/>
      <c r="BB100" s="65"/>
      <c r="BC100" s="65"/>
      <c r="BD100" s="65"/>
      <c r="BE100" s="65"/>
      <c r="BF100" s="65"/>
      <c r="BG100" s="65"/>
      <c r="BH100" s="65"/>
      <c r="BI100" s="210"/>
      <c r="BJ100" s="210"/>
    </row>
    <row r="101" spans="1:62" outlineLevel="1" x14ac:dyDescent="0.15"/>
    <row r="102" spans="1:62" s="102" customFormat="1" ht="32" x14ac:dyDescent="0.2">
      <c r="A102" s="113"/>
      <c r="B102" s="213" t="s">
        <v>194</v>
      </c>
      <c r="C102" s="206" t="s">
        <v>336</v>
      </c>
      <c r="D102" s="205"/>
      <c r="E102" s="206"/>
      <c r="F102" s="206"/>
      <c r="G102" s="206"/>
      <c r="H102" s="206"/>
      <c r="I102" s="206"/>
      <c r="J102" s="209">
        <f>SUM(J92:J100)</f>
        <v>0</v>
      </c>
      <c r="K102" s="209">
        <f t="shared" ref="K102:BH102" si="67">SUM(K92:K100)</f>
        <v>2000</v>
      </c>
      <c r="L102" s="209">
        <f>SUM(L92:L100)</f>
        <v>21000</v>
      </c>
      <c r="M102" s="209">
        <f t="shared" si="67"/>
        <v>5500</v>
      </c>
      <c r="N102" s="209">
        <f t="shared" si="67"/>
        <v>0</v>
      </c>
      <c r="O102" s="209">
        <f t="shared" si="67"/>
        <v>26500</v>
      </c>
      <c r="P102" s="209">
        <f t="shared" si="67"/>
        <v>0</v>
      </c>
      <c r="Q102" s="209">
        <f t="shared" si="67"/>
        <v>5500</v>
      </c>
      <c r="R102" s="209">
        <f t="shared" si="67"/>
        <v>25000</v>
      </c>
      <c r="S102" s="209">
        <f t="shared" si="67"/>
        <v>13500</v>
      </c>
      <c r="T102" s="209">
        <f t="shared" si="67"/>
        <v>7500</v>
      </c>
      <c r="U102" s="209">
        <f t="shared" si="67"/>
        <v>7500</v>
      </c>
      <c r="V102" s="209">
        <f t="shared" si="67"/>
        <v>0</v>
      </c>
      <c r="W102" s="209">
        <f t="shared" si="67"/>
        <v>85500</v>
      </c>
      <c r="X102" s="209">
        <f t="shared" si="67"/>
        <v>87500</v>
      </c>
      <c r="Y102" s="209">
        <f t="shared" si="67"/>
        <v>0</v>
      </c>
      <c r="Z102" s="209">
        <f t="shared" si="67"/>
        <v>0</v>
      </c>
      <c r="AA102" s="209">
        <f t="shared" si="67"/>
        <v>0</v>
      </c>
      <c r="AB102" s="209">
        <f t="shared" si="67"/>
        <v>0</v>
      </c>
      <c r="AC102" s="209">
        <f t="shared" si="67"/>
        <v>0</v>
      </c>
      <c r="AD102" s="209" t="e">
        <f t="shared" si="67"/>
        <v>#REF!</v>
      </c>
      <c r="AE102" s="209" t="e">
        <f t="shared" si="67"/>
        <v>#REF!</v>
      </c>
      <c r="AF102" s="209" t="e">
        <f t="shared" si="67"/>
        <v>#REF!</v>
      </c>
      <c r="AG102" s="209" t="e">
        <f t="shared" si="67"/>
        <v>#REF!</v>
      </c>
      <c r="AH102" s="209" t="e">
        <f t="shared" si="67"/>
        <v>#REF!</v>
      </c>
      <c r="AI102" s="209" t="e">
        <f t="shared" si="67"/>
        <v>#REF!</v>
      </c>
      <c r="AJ102" s="209" t="e">
        <f t="shared" si="67"/>
        <v>#REF!</v>
      </c>
      <c r="AK102" s="209" t="e">
        <f t="shared" si="67"/>
        <v>#REF!</v>
      </c>
      <c r="AL102" s="209" t="e">
        <f t="shared" si="67"/>
        <v>#REF!</v>
      </c>
      <c r="AM102" s="209">
        <f t="shared" si="67"/>
        <v>0</v>
      </c>
      <c r="AN102" s="209">
        <f t="shared" si="67"/>
        <v>0</v>
      </c>
      <c r="AO102" s="209" t="e">
        <f t="shared" si="67"/>
        <v>#REF!</v>
      </c>
      <c r="AP102" s="209" t="e">
        <f t="shared" si="67"/>
        <v>#REF!</v>
      </c>
      <c r="AQ102" s="209" t="e">
        <f t="shared" si="67"/>
        <v>#REF!</v>
      </c>
      <c r="AR102" s="209" t="e">
        <f t="shared" si="67"/>
        <v>#REF!</v>
      </c>
      <c r="AS102" s="209" t="e">
        <f t="shared" si="67"/>
        <v>#REF!</v>
      </c>
      <c r="AT102" s="209" t="e">
        <f t="shared" si="67"/>
        <v>#REF!</v>
      </c>
      <c r="AU102" s="209" t="e">
        <f t="shared" si="67"/>
        <v>#REF!</v>
      </c>
      <c r="AV102" s="209" t="e">
        <f t="shared" si="67"/>
        <v>#REF!</v>
      </c>
      <c r="AW102" s="209" t="e">
        <f>SUM(AW92:AW100)</f>
        <v>#REF!</v>
      </c>
      <c r="AX102" s="209">
        <f>SUM(AX92:AX100)</f>
        <v>0</v>
      </c>
      <c r="AY102" s="209">
        <f t="shared" si="67"/>
        <v>0</v>
      </c>
      <c r="AZ102" s="209">
        <f t="shared" si="67"/>
        <v>0</v>
      </c>
      <c r="BA102" s="209">
        <f t="shared" si="67"/>
        <v>0</v>
      </c>
      <c r="BB102" s="209">
        <f t="shared" si="67"/>
        <v>0</v>
      </c>
      <c r="BC102" s="209">
        <f t="shared" si="67"/>
        <v>0</v>
      </c>
      <c r="BD102" s="209">
        <f t="shared" si="67"/>
        <v>0</v>
      </c>
      <c r="BE102" s="209">
        <f t="shared" si="67"/>
        <v>0</v>
      </c>
      <c r="BF102" s="209">
        <f t="shared" si="67"/>
        <v>0</v>
      </c>
      <c r="BG102" s="209">
        <f t="shared" si="67"/>
        <v>0</v>
      </c>
      <c r="BH102" s="209">
        <f t="shared" si="67"/>
        <v>0</v>
      </c>
      <c r="BI102" s="4"/>
      <c r="BJ102" s="4"/>
    </row>
    <row r="103" spans="1:62" s="102" customFormat="1" ht="16" x14ac:dyDescent="0.2">
      <c r="A103" s="113"/>
      <c r="B103" s="214" t="s">
        <v>194</v>
      </c>
      <c r="C103" s="215"/>
      <c r="D103" s="216"/>
      <c r="E103" s="170"/>
      <c r="F103" s="170"/>
      <c r="G103" s="170"/>
      <c r="H103" s="217"/>
      <c r="I103" s="217"/>
      <c r="J103" s="218"/>
      <c r="K103" s="219"/>
      <c r="L103" s="219"/>
      <c r="M103" s="219"/>
      <c r="N103" s="219"/>
      <c r="O103" s="220"/>
      <c r="P103" s="219"/>
      <c r="Q103" s="219"/>
      <c r="R103" s="219"/>
      <c r="S103" s="219"/>
      <c r="T103" s="219"/>
      <c r="U103" s="219"/>
      <c r="V103" s="219"/>
      <c r="W103" s="220"/>
      <c r="X103" s="220"/>
      <c r="Y103" s="221"/>
      <c r="Z103" s="221"/>
      <c r="AA103" s="22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4"/>
      <c r="BJ103" s="4"/>
    </row>
    <row r="104" spans="1:62" s="102" customFormat="1" ht="16" x14ac:dyDescent="0.2">
      <c r="A104" s="113"/>
      <c r="B104" s="222" t="s">
        <v>194</v>
      </c>
      <c r="C104" s="223" t="s">
        <v>337</v>
      </c>
      <c r="D104" s="224"/>
      <c r="E104" s="118"/>
      <c r="F104" s="118"/>
      <c r="G104" s="118"/>
      <c r="H104" s="118"/>
      <c r="I104" s="118"/>
      <c r="J104" s="225"/>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4"/>
      <c r="BJ104" s="4"/>
    </row>
    <row r="105" spans="1:62" s="67" customFormat="1" ht="80" outlineLevel="1" x14ac:dyDescent="0.2">
      <c r="A105" s="113">
        <v>38</v>
      </c>
      <c r="B105" s="168" t="s">
        <v>127</v>
      </c>
      <c r="C105" s="168" t="s">
        <v>338</v>
      </c>
      <c r="D105" s="226" t="s">
        <v>312</v>
      </c>
      <c r="E105" s="168" t="s">
        <v>339</v>
      </c>
      <c r="F105" s="168">
        <v>1</v>
      </c>
      <c r="G105" s="168"/>
      <c r="H105" s="170" t="s">
        <v>199</v>
      </c>
      <c r="I105" s="170" t="s">
        <v>200</v>
      </c>
      <c r="J105" s="175">
        <v>0</v>
      </c>
      <c r="K105" s="108"/>
      <c r="L105" s="108">
        <v>2000</v>
      </c>
      <c r="M105" s="174"/>
      <c r="N105" s="174"/>
      <c r="O105" s="172">
        <f t="shared" ref="O105:O111" si="68">L105+M105+N105</f>
        <v>2000</v>
      </c>
      <c r="P105" s="60"/>
      <c r="Q105" s="60"/>
      <c r="R105" s="60"/>
      <c r="S105" s="60"/>
      <c r="T105" s="60"/>
      <c r="U105" s="60"/>
      <c r="V105" s="60"/>
      <c r="W105" s="146">
        <f t="shared" ref="W105:W112" si="69">O105+P105+Q105+R105+S105+T105+U105+V105</f>
        <v>2000</v>
      </c>
      <c r="X105" s="174">
        <f>K105+L105+M105+N105+P105+Q105+R105+S105+T105+U105+V105</f>
        <v>2000</v>
      </c>
      <c r="Y105" s="175"/>
      <c r="Z105" s="175" t="s">
        <v>225</v>
      </c>
      <c r="AA105" s="175" t="s">
        <v>340</v>
      </c>
      <c r="AB105" s="64"/>
      <c r="AC105" s="63"/>
      <c r="AD105" s="63" t="e">
        <f>'[1]KTF reglerplats 10 bussar'!L8</f>
        <v>#REF!</v>
      </c>
      <c r="AE105" s="63" t="e">
        <f>'[1]KTF reglerplats 10 bussar'!M8</f>
        <v>#REF!</v>
      </c>
      <c r="AF105" s="63" t="e">
        <f>'[1]KTF reglerplats 10 bussar'!N8</f>
        <v>#REF!</v>
      </c>
      <c r="AG105" s="63" t="e">
        <f>'[1]KTF reglerplats 10 bussar'!O8</f>
        <v>#REF!</v>
      </c>
      <c r="AH105" s="63" t="e">
        <f>'[1]KTF reglerplats 10 bussar'!P8</f>
        <v>#REF!</v>
      </c>
      <c r="AI105" s="63" t="e">
        <f>'[1]KTF reglerplats 10 bussar'!Q8</f>
        <v>#REF!</v>
      </c>
      <c r="AJ105" s="63" t="e">
        <f>'[1]KTF reglerplats 10 bussar'!R8</f>
        <v>#REF!</v>
      </c>
      <c r="AK105" s="63" t="e">
        <f>'[1]KTF reglerplats 10 bussar'!S8</f>
        <v>#REF!</v>
      </c>
      <c r="AL105" s="63" t="e">
        <f>'[1]KTF reglerplats 10 bussar'!T8</f>
        <v>#REF!</v>
      </c>
      <c r="AM105" s="64"/>
      <c r="AN105" s="64"/>
      <c r="AO105" s="64" t="e">
        <f>-'[1]KTF reglerplats 10 bussar'!L22</f>
        <v>#REF!</v>
      </c>
      <c r="AP105" s="64" t="e">
        <f>-'[1]KTF reglerplats 10 bussar'!M22</f>
        <v>#REF!</v>
      </c>
      <c r="AQ105" s="64" t="e">
        <f>-'[1]KTF reglerplats 10 bussar'!N22</f>
        <v>#REF!</v>
      </c>
      <c r="AR105" s="64" t="e">
        <f>-'[1]KTF reglerplats 10 bussar'!O22</f>
        <v>#REF!</v>
      </c>
      <c r="AS105" s="64" t="e">
        <f>-'[1]KTF reglerplats 10 bussar'!P22</f>
        <v>#REF!</v>
      </c>
      <c r="AT105" s="64" t="e">
        <f>-'[1]KTF reglerplats 10 bussar'!Q22</f>
        <v>#REF!</v>
      </c>
      <c r="AU105" s="64" t="e">
        <f>-'[1]KTF reglerplats 10 bussar'!R22</f>
        <v>#REF!</v>
      </c>
      <c r="AV105" s="64" t="e">
        <f>-'[1]KTF reglerplats 10 bussar'!S22</f>
        <v>#REF!</v>
      </c>
      <c r="AW105" s="64" t="e">
        <f>-'[1]KTF reglerplats 10 bussar'!T22</f>
        <v>#REF!</v>
      </c>
      <c r="AX105" s="65"/>
      <c r="AY105" s="65"/>
      <c r="AZ105" s="65"/>
      <c r="BA105" s="65"/>
      <c r="BB105" s="65"/>
      <c r="BC105" s="65"/>
      <c r="BD105" s="65"/>
      <c r="BE105" s="65"/>
      <c r="BF105" s="65"/>
      <c r="BG105" s="65"/>
      <c r="BH105" s="65"/>
      <c r="BI105" s="3"/>
      <c r="BJ105" s="3"/>
    </row>
    <row r="106" spans="1:62" s="67" customFormat="1" ht="76.5" customHeight="1" outlineLevel="1" x14ac:dyDescent="0.2">
      <c r="A106" s="113">
        <v>39</v>
      </c>
      <c r="B106" s="168" t="s">
        <v>127</v>
      </c>
      <c r="C106" s="227" t="s">
        <v>341</v>
      </c>
      <c r="D106" s="228" t="s">
        <v>312</v>
      </c>
      <c r="E106" s="227" t="s">
        <v>342</v>
      </c>
      <c r="F106" s="168">
        <v>2</v>
      </c>
      <c r="G106" s="168"/>
      <c r="H106" s="170" t="s">
        <v>199</v>
      </c>
      <c r="I106" s="170" t="s">
        <v>200</v>
      </c>
      <c r="J106" s="175">
        <v>0</v>
      </c>
      <c r="K106" s="174"/>
      <c r="L106" s="174"/>
      <c r="M106" s="189"/>
      <c r="N106" s="108"/>
      <c r="O106" s="172">
        <f t="shared" si="68"/>
        <v>0</v>
      </c>
      <c r="P106" s="60"/>
      <c r="Q106" s="60"/>
      <c r="R106" s="60"/>
      <c r="S106" s="60"/>
      <c r="T106" s="60"/>
      <c r="U106" s="60"/>
      <c r="V106" s="60"/>
      <c r="W106" s="146">
        <f t="shared" si="69"/>
        <v>0</v>
      </c>
      <c r="X106" s="174">
        <f t="shared" ref="X106:X112" si="70">K106+L106+M106+N106+P106+Q106+R106+S106+T106+U106+V106</f>
        <v>0</v>
      </c>
      <c r="Y106" s="175"/>
      <c r="Z106" s="175" t="s">
        <v>343</v>
      </c>
      <c r="AA106" s="175" t="s">
        <v>344</v>
      </c>
      <c r="AB106" s="64"/>
      <c r="AC106" s="63"/>
      <c r="AD106" s="63"/>
      <c r="AE106" s="63"/>
      <c r="AF106" s="63"/>
      <c r="AG106" s="63"/>
      <c r="AH106" s="63"/>
      <c r="AI106" s="63"/>
      <c r="AJ106" s="63"/>
      <c r="AK106" s="63"/>
      <c r="AL106" s="63"/>
      <c r="AM106" s="64"/>
      <c r="AN106" s="64"/>
      <c r="AO106" s="64"/>
      <c r="AP106" s="64"/>
      <c r="AQ106" s="64"/>
      <c r="AR106" s="64"/>
      <c r="AS106" s="64"/>
      <c r="AT106" s="64"/>
      <c r="AU106" s="64"/>
      <c r="AV106" s="64"/>
      <c r="AW106" s="64"/>
      <c r="AX106" s="65"/>
      <c r="AY106" s="65"/>
      <c r="AZ106" s="65"/>
      <c r="BA106" s="65"/>
      <c r="BB106" s="65"/>
      <c r="BC106" s="65"/>
      <c r="BD106" s="65"/>
      <c r="BE106" s="65"/>
      <c r="BF106" s="65"/>
      <c r="BG106" s="65"/>
      <c r="BH106" s="65"/>
      <c r="BI106" s="3"/>
      <c r="BJ106" s="3"/>
    </row>
    <row r="107" spans="1:62" s="67" customFormat="1" ht="48" outlineLevel="1" x14ac:dyDescent="0.2">
      <c r="A107" s="113">
        <v>40</v>
      </c>
      <c r="B107" s="168" t="s">
        <v>345</v>
      </c>
      <c r="C107" s="227" t="s">
        <v>346</v>
      </c>
      <c r="D107" s="228" t="s">
        <v>312</v>
      </c>
      <c r="E107" s="227" t="s">
        <v>347</v>
      </c>
      <c r="F107" s="168">
        <v>3</v>
      </c>
      <c r="G107" s="168"/>
      <c r="H107" s="170" t="s">
        <v>199</v>
      </c>
      <c r="I107" s="170" t="s">
        <v>200</v>
      </c>
      <c r="J107" s="175">
        <v>0</v>
      </c>
      <c r="K107" s="174"/>
      <c r="L107" s="174"/>
      <c r="M107" s="189"/>
      <c r="N107" s="189"/>
      <c r="O107" s="172">
        <f t="shared" si="68"/>
        <v>0</v>
      </c>
      <c r="P107" s="108"/>
      <c r="Q107" s="108"/>
      <c r="R107" s="108"/>
      <c r="S107" s="108"/>
      <c r="T107" s="108"/>
      <c r="U107" s="108"/>
      <c r="V107" s="60"/>
      <c r="W107" s="146">
        <f t="shared" si="69"/>
        <v>0</v>
      </c>
      <c r="X107" s="174">
        <f t="shared" si="70"/>
        <v>0</v>
      </c>
      <c r="Y107" s="175"/>
      <c r="Z107" s="175" t="s">
        <v>343</v>
      </c>
      <c r="AA107" s="175" t="s">
        <v>344</v>
      </c>
      <c r="AB107" s="64"/>
      <c r="AC107" s="63"/>
      <c r="AD107" s="63"/>
      <c r="AE107" s="63"/>
      <c r="AF107" s="63"/>
      <c r="AG107" s="63"/>
      <c r="AH107" s="63"/>
      <c r="AI107" s="63"/>
      <c r="AJ107" s="63"/>
      <c r="AK107" s="63"/>
      <c r="AL107" s="63"/>
      <c r="AM107" s="64"/>
      <c r="AN107" s="64"/>
      <c r="AO107" s="64"/>
      <c r="AP107" s="64"/>
      <c r="AQ107" s="64"/>
      <c r="AR107" s="64"/>
      <c r="AS107" s="64"/>
      <c r="AT107" s="64"/>
      <c r="AU107" s="64"/>
      <c r="AV107" s="64"/>
      <c r="AW107" s="64"/>
      <c r="AX107" s="65"/>
      <c r="AY107" s="65"/>
      <c r="AZ107" s="65"/>
      <c r="BA107" s="65"/>
      <c r="BB107" s="65"/>
      <c r="BC107" s="65"/>
      <c r="BD107" s="65"/>
      <c r="BE107" s="65"/>
      <c r="BF107" s="65"/>
      <c r="BG107" s="65"/>
      <c r="BH107" s="65"/>
      <c r="BI107" s="3"/>
      <c r="BJ107" s="3"/>
    </row>
    <row r="108" spans="1:62" s="67" customFormat="1" ht="48" outlineLevel="1" x14ac:dyDescent="0.2">
      <c r="A108" s="113">
        <v>41</v>
      </c>
      <c r="B108" s="168" t="s">
        <v>127</v>
      </c>
      <c r="C108" s="227" t="s">
        <v>348</v>
      </c>
      <c r="D108" s="228" t="s">
        <v>312</v>
      </c>
      <c r="E108" s="227" t="s">
        <v>349</v>
      </c>
      <c r="F108" s="168">
        <v>4</v>
      </c>
      <c r="G108" s="168"/>
      <c r="H108" s="170" t="s">
        <v>199</v>
      </c>
      <c r="I108" s="170" t="s">
        <v>200</v>
      </c>
      <c r="J108" s="175">
        <v>0</v>
      </c>
      <c r="K108" s="174"/>
      <c r="L108" s="174"/>
      <c r="M108" s="108"/>
      <c r="N108" s="108"/>
      <c r="O108" s="172">
        <f t="shared" si="68"/>
        <v>0</v>
      </c>
      <c r="P108" s="108"/>
      <c r="Q108" s="108"/>
      <c r="R108" s="108"/>
      <c r="S108" s="108"/>
      <c r="T108" s="108"/>
      <c r="U108" s="108"/>
      <c r="V108" s="60"/>
      <c r="W108" s="146">
        <f t="shared" si="69"/>
        <v>0</v>
      </c>
      <c r="X108" s="174">
        <f t="shared" si="70"/>
        <v>0</v>
      </c>
      <c r="Y108" s="175"/>
      <c r="Z108" s="175" t="s">
        <v>215</v>
      </c>
      <c r="AA108" s="175" t="s">
        <v>350</v>
      </c>
      <c r="AB108" s="64"/>
      <c r="AC108" s="63"/>
      <c r="AD108" s="63"/>
      <c r="AE108" s="63"/>
      <c r="AF108" s="63"/>
      <c r="AG108" s="63"/>
      <c r="AH108" s="63"/>
      <c r="AI108" s="63"/>
      <c r="AJ108" s="63"/>
      <c r="AK108" s="63"/>
      <c r="AL108" s="63"/>
      <c r="AM108" s="64"/>
      <c r="AN108" s="64"/>
      <c r="AO108" s="64"/>
      <c r="AP108" s="64"/>
      <c r="AQ108" s="64"/>
      <c r="AR108" s="64"/>
      <c r="AS108" s="64"/>
      <c r="AT108" s="64"/>
      <c r="AU108" s="64"/>
      <c r="AV108" s="64"/>
      <c r="AW108" s="64"/>
      <c r="AX108" s="65"/>
      <c r="AY108" s="65"/>
      <c r="AZ108" s="65"/>
      <c r="BA108" s="65"/>
      <c r="BB108" s="65"/>
      <c r="BC108" s="65"/>
      <c r="BD108" s="65"/>
      <c r="BE108" s="65"/>
      <c r="BF108" s="65"/>
      <c r="BG108" s="65"/>
      <c r="BH108" s="65"/>
      <c r="BI108" s="3"/>
      <c r="BJ108" s="3"/>
    </row>
    <row r="109" spans="1:62" s="67" customFormat="1" ht="96" outlineLevel="1" x14ac:dyDescent="0.2">
      <c r="A109" s="113">
        <v>42</v>
      </c>
      <c r="B109" s="168" t="s">
        <v>127</v>
      </c>
      <c r="C109" s="168" t="s">
        <v>351</v>
      </c>
      <c r="D109" s="226" t="s">
        <v>312</v>
      </c>
      <c r="E109" s="168" t="s">
        <v>352</v>
      </c>
      <c r="F109" s="168">
        <v>5</v>
      </c>
      <c r="G109" s="168"/>
      <c r="H109" s="170" t="s">
        <v>199</v>
      </c>
      <c r="I109" s="170" t="s">
        <v>200</v>
      </c>
      <c r="J109" s="175">
        <v>0</v>
      </c>
      <c r="K109" s="174"/>
      <c r="L109" s="174"/>
      <c r="M109" s="174"/>
      <c r="N109" s="174"/>
      <c r="O109" s="172">
        <f t="shared" si="68"/>
        <v>0</v>
      </c>
      <c r="P109" s="108"/>
      <c r="Q109" s="108"/>
      <c r="R109" s="108"/>
      <c r="S109" s="108">
        <v>25000</v>
      </c>
      <c r="T109" s="108">
        <v>75000</v>
      </c>
      <c r="U109" s="108">
        <v>180000</v>
      </c>
      <c r="V109" s="60"/>
      <c r="W109" s="146">
        <f t="shared" si="69"/>
        <v>280000</v>
      </c>
      <c r="X109" s="174">
        <f t="shared" si="70"/>
        <v>280000</v>
      </c>
      <c r="Y109" s="175"/>
      <c r="Z109" s="175" t="s">
        <v>215</v>
      </c>
      <c r="AA109" s="175" t="s">
        <v>350</v>
      </c>
      <c r="AB109" s="64"/>
      <c r="AC109" s="63"/>
      <c r="AD109" s="63"/>
      <c r="AE109" s="63"/>
      <c r="AF109" s="63"/>
      <c r="AG109" s="63"/>
      <c r="AH109" s="63"/>
      <c r="AI109" s="63"/>
      <c r="AJ109" s="63"/>
      <c r="AK109" s="63"/>
      <c r="AL109" s="63" t="e">
        <f>'[1]KTF bussdepå Enköping'!L8</f>
        <v>#REF!</v>
      </c>
      <c r="AM109" s="64"/>
      <c r="AN109" s="64"/>
      <c r="AO109" s="64"/>
      <c r="AP109" s="64"/>
      <c r="AQ109" s="64"/>
      <c r="AR109" s="64"/>
      <c r="AS109" s="64"/>
      <c r="AT109" s="64"/>
      <c r="AU109" s="64"/>
      <c r="AV109" s="64"/>
      <c r="AW109" s="64" t="e">
        <f>-'[1]KTF bussdepå Enköping'!L22</f>
        <v>#REF!</v>
      </c>
      <c r="AX109" s="65"/>
      <c r="AY109" s="65"/>
      <c r="AZ109" s="65"/>
      <c r="BA109" s="65"/>
      <c r="BB109" s="65"/>
      <c r="BC109" s="65"/>
      <c r="BD109" s="65"/>
      <c r="BE109" s="65"/>
      <c r="BF109" s="65"/>
      <c r="BG109" s="65"/>
      <c r="BH109" s="65"/>
      <c r="BI109" s="3"/>
      <c r="BJ109" s="3"/>
    </row>
    <row r="110" spans="1:62" s="67" customFormat="1" ht="48" outlineLevel="1" x14ac:dyDescent="0.2">
      <c r="A110" s="113">
        <v>43</v>
      </c>
      <c r="B110" s="168" t="s">
        <v>127</v>
      </c>
      <c r="C110" s="168" t="s">
        <v>353</v>
      </c>
      <c r="D110" s="226" t="s">
        <v>312</v>
      </c>
      <c r="E110" s="168" t="s">
        <v>354</v>
      </c>
      <c r="F110" s="168">
        <v>6</v>
      </c>
      <c r="G110" s="168"/>
      <c r="H110" s="170" t="s">
        <v>199</v>
      </c>
      <c r="I110" s="170" t="s">
        <v>200</v>
      </c>
      <c r="J110" s="175">
        <v>0</v>
      </c>
      <c r="K110" s="174"/>
      <c r="L110" s="174"/>
      <c r="M110" s="174"/>
      <c r="N110" s="174"/>
      <c r="O110" s="172">
        <f t="shared" si="68"/>
        <v>0</v>
      </c>
      <c r="P110" s="108"/>
      <c r="Q110" s="108"/>
      <c r="R110" s="108"/>
      <c r="S110" s="108"/>
      <c r="T110" s="108"/>
      <c r="U110" s="108"/>
      <c r="V110" s="60"/>
      <c r="W110" s="146">
        <f t="shared" si="69"/>
        <v>0</v>
      </c>
      <c r="X110" s="174">
        <f t="shared" si="70"/>
        <v>0</v>
      </c>
      <c r="Y110" s="175"/>
      <c r="Z110" s="175" t="s">
        <v>225</v>
      </c>
      <c r="AA110" s="175" t="s">
        <v>344</v>
      </c>
      <c r="AB110" s="64"/>
      <c r="AC110" s="63"/>
      <c r="AD110" s="63"/>
      <c r="AE110" s="63"/>
      <c r="AF110" s="63"/>
      <c r="AG110" s="63"/>
      <c r="AH110" s="63"/>
      <c r="AI110" s="63"/>
      <c r="AJ110" s="63"/>
      <c r="AK110" s="63"/>
      <c r="AL110" s="63"/>
      <c r="AM110" s="64"/>
      <c r="AN110" s="64"/>
      <c r="AO110" s="64"/>
      <c r="AP110" s="64"/>
      <c r="AQ110" s="64"/>
      <c r="AR110" s="64"/>
      <c r="AS110" s="64"/>
      <c r="AT110" s="64"/>
      <c r="AU110" s="64"/>
      <c r="AV110" s="64"/>
      <c r="AW110" s="64"/>
      <c r="AX110" s="65"/>
      <c r="AY110" s="65"/>
      <c r="AZ110" s="65"/>
      <c r="BA110" s="65"/>
      <c r="BB110" s="65"/>
      <c r="BC110" s="65"/>
      <c r="BD110" s="65"/>
      <c r="BE110" s="65"/>
      <c r="BF110" s="65"/>
      <c r="BG110" s="65"/>
      <c r="BH110" s="65"/>
      <c r="BI110" s="3"/>
      <c r="BJ110" s="3"/>
    </row>
    <row r="111" spans="1:62" s="67" customFormat="1" ht="64" outlineLevel="1" x14ac:dyDescent="0.2">
      <c r="A111" s="113">
        <v>44</v>
      </c>
      <c r="B111" s="168" t="s">
        <v>127</v>
      </c>
      <c r="C111" s="168" t="s">
        <v>355</v>
      </c>
      <c r="D111" s="177">
        <v>8040456</v>
      </c>
      <c r="E111" s="168" t="s">
        <v>356</v>
      </c>
      <c r="F111" s="168">
        <v>0</v>
      </c>
      <c r="G111" s="168" t="s">
        <v>357</v>
      </c>
      <c r="H111" s="170" t="s">
        <v>199</v>
      </c>
      <c r="I111" s="168" t="s">
        <v>102</v>
      </c>
      <c r="J111" s="147">
        <v>850000</v>
      </c>
      <c r="K111" s="60">
        <f>2820+1800+14000+13000+35000+250000-150000</f>
        <v>166620</v>
      </c>
      <c r="L111" s="60">
        <f>250000+50000-25000</f>
        <v>275000</v>
      </c>
      <c r="M111" s="60">
        <f>283380+100000-25000</f>
        <v>358380</v>
      </c>
      <c r="N111" s="60">
        <v>50000</v>
      </c>
      <c r="O111" s="172">
        <f t="shared" si="68"/>
        <v>683380</v>
      </c>
      <c r="P111" s="60"/>
      <c r="Q111" s="60"/>
      <c r="R111" s="60"/>
      <c r="S111" s="60"/>
      <c r="T111" s="60"/>
      <c r="U111" s="60"/>
      <c r="V111" s="60"/>
      <c r="W111" s="146">
        <f t="shared" si="69"/>
        <v>683380</v>
      </c>
      <c r="X111" s="174">
        <f t="shared" si="70"/>
        <v>850000</v>
      </c>
      <c r="Y111" s="175" t="s">
        <v>358</v>
      </c>
      <c r="Z111" s="175" t="s">
        <v>359</v>
      </c>
      <c r="AA111" s="147" t="s">
        <v>360</v>
      </c>
      <c r="AB111" s="64"/>
      <c r="AC111" s="63"/>
      <c r="AD111" s="63"/>
      <c r="AE111" s="63" t="e">
        <f>[1]Stadsbussdepå!L8</f>
        <v>#REF!</v>
      </c>
      <c r="AF111" s="63" t="e">
        <f>[1]Stadsbussdepå!M8</f>
        <v>#REF!</v>
      </c>
      <c r="AG111" s="63" t="e">
        <f>[1]Stadsbussdepå!N8</f>
        <v>#REF!</v>
      </c>
      <c r="AH111" s="63" t="e">
        <f>[1]Stadsbussdepå!O8</f>
        <v>#REF!</v>
      </c>
      <c r="AI111" s="63" t="e">
        <f>[1]Stadsbussdepå!P8</f>
        <v>#REF!</v>
      </c>
      <c r="AJ111" s="63" t="e">
        <f>[1]Stadsbussdepå!Q8</f>
        <v>#REF!</v>
      </c>
      <c r="AK111" s="63" t="e">
        <f>[1]Stadsbussdepå!R8</f>
        <v>#REF!</v>
      </c>
      <c r="AL111" s="63" t="e">
        <f>[1]Stadsbussdepå!S8</f>
        <v>#REF!</v>
      </c>
      <c r="AM111" s="64"/>
      <c r="AN111" s="64"/>
      <c r="AO111" s="64"/>
      <c r="AP111" s="64" t="e">
        <f>-[1]Stadsbussdepå!L22</f>
        <v>#REF!</v>
      </c>
      <c r="AQ111" s="64" t="e">
        <f>-[1]Stadsbussdepå!M22</f>
        <v>#REF!</v>
      </c>
      <c r="AR111" s="64" t="e">
        <f>-[1]Stadsbussdepå!N22</f>
        <v>#REF!</v>
      </c>
      <c r="AS111" s="64" t="e">
        <f>-[1]Stadsbussdepå!O22</f>
        <v>#REF!</v>
      </c>
      <c r="AT111" s="64" t="e">
        <f>-[1]Stadsbussdepå!P22</f>
        <v>#REF!</v>
      </c>
      <c r="AU111" s="64" t="e">
        <f>-[1]Stadsbussdepå!Q22</f>
        <v>#REF!</v>
      </c>
      <c r="AV111" s="64" t="e">
        <f>-[1]Stadsbussdepå!R22</f>
        <v>#REF!</v>
      </c>
      <c r="AW111" s="64" t="e">
        <f>-[1]Stadsbussdepå!S22</f>
        <v>#REF!</v>
      </c>
      <c r="AX111" s="65"/>
      <c r="AY111" s="65"/>
      <c r="AZ111" s="65"/>
      <c r="BA111" s="65"/>
      <c r="BB111" s="65"/>
      <c r="BC111" s="65"/>
      <c r="BD111" s="65"/>
      <c r="BE111" s="65"/>
      <c r="BF111" s="65"/>
      <c r="BG111" s="65"/>
      <c r="BH111" s="65"/>
      <c r="BI111" s="3"/>
      <c r="BJ111" s="3"/>
    </row>
    <row r="112" spans="1:62" s="67" customFormat="1" ht="16" outlineLevel="1" x14ac:dyDescent="0.2">
      <c r="A112" s="113"/>
      <c r="B112" s="229" t="s">
        <v>194</v>
      </c>
      <c r="C112" s="168"/>
      <c r="D112" s="226"/>
      <c r="E112" s="168"/>
      <c r="F112" s="168"/>
      <c r="G112" s="168"/>
      <c r="H112" s="170"/>
      <c r="I112" s="170"/>
      <c r="J112" s="175"/>
      <c r="K112" s="174"/>
      <c r="L112" s="174"/>
      <c r="M112" s="174"/>
      <c r="N112" s="174"/>
      <c r="O112" s="172"/>
      <c r="P112" s="60"/>
      <c r="Q112" s="60"/>
      <c r="R112" s="60"/>
      <c r="S112" s="60"/>
      <c r="T112" s="60"/>
      <c r="U112" s="60"/>
      <c r="V112" s="60"/>
      <c r="W112" s="146">
        <f t="shared" si="69"/>
        <v>0</v>
      </c>
      <c r="X112" s="174">
        <f t="shared" si="70"/>
        <v>0</v>
      </c>
      <c r="Y112" s="175"/>
      <c r="Z112" s="175"/>
      <c r="AA112" s="60"/>
      <c r="AB112" s="64"/>
      <c r="AC112" s="63"/>
      <c r="AD112" s="63"/>
      <c r="AE112" s="63"/>
      <c r="AF112" s="63"/>
      <c r="AG112" s="63"/>
      <c r="AH112" s="63"/>
      <c r="AI112" s="63"/>
      <c r="AJ112" s="63"/>
      <c r="AK112" s="63"/>
      <c r="AL112" s="63"/>
      <c r="AM112" s="64"/>
      <c r="AN112" s="64"/>
      <c r="AO112" s="64"/>
      <c r="AP112" s="64"/>
      <c r="AQ112" s="64"/>
      <c r="AR112" s="64"/>
      <c r="AS112" s="64"/>
      <c r="AT112" s="64"/>
      <c r="AU112" s="64"/>
      <c r="AV112" s="64"/>
      <c r="AW112" s="64"/>
      <c r="AX112" s="65"/>
      <c r="AY112" s="65"/>
      <c r="AZ112" s="65"/>
      <c r="BA112" s="65"/>
      <c r="BB112" s="65"/>
      <c r="BC112" s="65"/>
      <c r="BD112" s="65"/>
      <c r="BE112" s="65"/>
      <c r="BF112" s="65"/>
      <c r="BG112" s="65"/>
      <c r="BH112" s="65"/>
      <c r="BI112" s="3"/>
      <c r="BJ112" s="3"/>
    </row>
    <row r="113" spans="1:62" s="102" customFormat="1" ht="16" x14ac:dyDescent="0.2">
      <c r="A113" s="113"/>
      <c r="B113" s="230" t="s">
        <v>194</v>
      </c>
      <c r="C113" s="118" t="s">
        <v>361</v>
      </c>
      <c r="D113" s="224"/>
      <c r="E113" s="118"/>
      <c r="F113" s="118"/>
      <c r="G113" s="118"/>
      <c r="H113" s="118"/>
      <c r="I113" s="118"/>
      <c r="J113" s="152">
        <f t="shared" ref="J113:AV113" si="71">SUM(J105:J111)</f>
        <v>850000</v>
      </c>
      <c r="K113" s="152">
        <f t="shared" si="71"/>
        <v>166620</v>
      </c>
      <c r="L113" s="152">
        <f t="shared" si="71"/>
        <v>277000</v>
      </c>
      <c r="M113" s="152">
        <f t="shared" si="71"/>
        <v>358380</v>
      </c>
      <c r="N113" s="152">
        <f t="shared" si="71"/>
        <v>50000</v>
      </c>
      <c r="O113" s="152">
        <f t="shared" si="71"/>
        <v>685380</v>
      </c>
      <c r="P113" s="152">
        <f t="shared" si="71"/>
        <v>0</v>
      </c>
      <c r="Q113" s="152">
        <f t="shared" si="71"/>
        <v>0</v>
      </c>
      <c r="R113" s="152">
        <f t="shared" si="71"/>
        <v>0</v>
      </c>
      <c r="S113" s="152">
        <f t="shared" si="71"/>
        <v>25000</v>
      </c>
      <c r="T113" s="152">
        <f t="shared" si="71"/>
        <v>75000</v>
      </c>
      <c r="U113" s="152">
        <f t="shared" si="71"/>
        <v>180000</v>
      </c>
      <c r="V113" s="152">
        <f t="shared" si="71"/>
        <v>0</v>
      </c>
      <c r="W113" s="152">
        <f t="shared" si="71"/>
        <v>965380</v>
      </c>
      <c r="X113" s="152">
        <f t="shared" si="71"/>
        <v>1132000</v>
      </c>
      <c r="Y113" s="152"/>
      <c r="Z113" s="152"/>
      <c r="AA113" s="152"/>
      <c r="AB113" s="152">
        <f t="shared" si="71"/>
        <v>0</v>
      </c>
      <c r="AC113" s="152">
        <f t="shared" si="71"/>
        <v>0</v>
      </c>
      <c r="AD113" s="152" t="e">
        <f t="shared" si="71"/>
        <v>#REF!</v>
      </c>
      <c r="AE113" s="152" t="e">
        <f t="shared" si="71"/>
        <v>#REF!</v>
      </c>
      <c r="AF113" s="152" t="e">
        <f t="shared" si="71"/>
        <v>#REF!</v>
      </c>
      <c r="AG113" s="152" t="e">
        <f t="shared" si="71"/>
        <v>#REF!</v>
      </c>
      <c r="AH113" s="152" t="e">
        <f t="shared" si="71"/>
        <v>#REF!</v>
      </c>
      <c r="AI113" s="152" t="e">
        <f t="shared" si="71"/>
        <v>#REF!</v>
      </c>
      <c r="AJ113" s="152" t="e">
        <f t="shared" si="71"/>
        <v>#REF!</v>
      </c>
      <c r="AK113" s="152" t="e">
        <f t="shared" si="71"/>
        <v>#REF!</v>
      </c>
      <c r="AL113" s="152" t="e">
        <f t="shared" si="71"/>
        <v>#REF!</v>
      </c>
      <c r="AM113" s="152">
        <f t="shared" si="71"/>
        <v>0</v>
      </c>
      <c r="AN113" s="152">
        <f t="shared" si="71"/>
        <v>0</v>
      </c>
      <c r="AO113" s="152" t="e">
        <f t="shared" si="71"/>
        <v>#REF!</v>
      </c>
      <c r="AP113" s="152" t="e">
        <f t="shared" si="71"/>
        <v>#REF!</v>
      </c>
      <c r="AQ113" s="152" t="e">
        <f t="shared" si="71"/>
        <v>#REF!</v>
      </c>
      <c r="AR113" s="152" t="e">
        <f t="shared" si="71"/>
        <v>#REF!</v>
      </c>
      <c r="AS113" s="152" t="e">
        <f t="shared" si="71"/>
        <v>#REF!</v>
      </c>
      <c r="AT113" s="152" t="e">
        <f t="shared" si="71"/>
        <v>#REF!</v>
      </c>
      <c r="AU113" s="152" t="e">
        <f t="shared" si="71"/>
        <v>#REF!</v>
      </c>
      <c r="AV113" s="152" t="e">
        <f t="shared" si="71"/>
        <v>#REF!</v>
      </c>
      <c r="AW113" s="152" t="e">
        <f>SUM(AW105:AW111)</f>
        <v>#REF!</v>
      </c>
      <c r="AX113" s="152">
        <f t="shared" ref="AX113:BH113" si="72">SUM(AX105:AX111)</f>
        <v>0</v>
      </c>
      <c r="AY113" s="152">
        <f t="shared" si="72"/>
        <v>0</v>
      </c>
      <c r="AZ113" s="152">
        <f t="shared" si="72"/>
        <v>0</v>
      </c>
      <c r="BA113" s="152">
        <f t="shared" si="72"/>
        <v>0</v>
      </c>
      <c r="BB113" s="152">
        <f t="shared" si="72"/>
        <v>0</v>
      </c>
      <c r="BC113" s="152">
        <f t="shared" si="72"/>
        <v>0</v>
      </c>
      <c r="BD113" s="152">
        <f t="shared" si="72"/>
        <v>0</v>
      </c>
      <c r="BE113" s="152">
        <f t="shared" si="72"/>
        <v>0</v>
      </c>
      <c r="BF113" s="152">
        <f t="shared" si="72"/>
        <v>0</v>
      </c>
      <c r="BG113" s="152">
        <f t="shared" si="72"/>
        <v>0</v>
      </c>
      <c r="BH113" s="152">
        <f t="shared" si="72"/>
        <v>0</v>
      </c>
      <c r="BI113" s="4"/>
      <c r="BJ113" s="4"/>
    </row>
    <row r="114" spans="1:62" s="102" customFormat="1" ht="16" x14ac:dyDescent="0.2">
      <c r="A114" s="113"/>
      <c r="B114" s="198" t="s">
        <v>194</v>
      </c>
      <c r="C114" s="199"/>
      <c r="D114" s="200"/>
      <c r="E114" s="168"/>
      <c r="F114" s="168"/>
      <c r="G114" s="168"/>
      <c r="H114" s="201"/>
      <c r="I114" s="201"/>
      <c r="J114" s="202"/>
      <c r="K114" s="231"/>
      <c r="L114" s="231"/>
      <c r="M114" s="231"/>
      <c r="N114" s="231"/>
      <c r="O114" s="232"/>
      <c r="P114" s="231"/>
      <c r="Q114" s="231"/>
      <c r="R114" s="231"/>
      <c r="S114" s="231"/>
      <c r="T114" s="231"/>
      <c r="U114" s="231"/>
      <c r="V114" s="231"/>
      <c r="W114" s="232"/>
      <c r="X114" s="232"/>
      <c r="Y114" s="146"/>
      <c r="Z114" s="146"/>
      <c r="AA114" s="146"/>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4"/>
      <c r="BJ114" s="4"/>
    </row>
    <row r="115" spans="1:62" s="102" customFormat="1" ht="16" x14ac:dyDescent="0.2">
      <c r="A115" s="113"/>
      <c r="B115" s="233" t="s">
        <v>194</v>
      </c>
      <c r="C115" s="234" t="s">
        <v>362</v>
      </c>
      <c r="D115" s="235"/>
      <c r="E115" s="236"/>
      <c r="F115" s="236"/>
      <c r="G115" s="236"/>
      <c r="H115" s="236"/>
      <c r="I115" s="236"/>
      <c r="J115" s="237"/>
      <c r="K115" s="238"/>
      <c r="L115" s="238"/>
      <c r="M115" s="238"/>
      <c r="N115" s="238"/>
      <c r="O115" s="238"/>
      <c r="P115" s="238"/>
      <c r="Q115" s="238"/>
      <c r="R115" s="238"/>
      <c r="S115" s="238"/>
      <c r="T115" s="238"/>
      <c r="U115" s="238"/>
      <c r="V115" s="238"/>
      <c r="W115" s="238"/>
      <c r="X115" s="238"/>
      <c r="Y115" s="239"/>
      <c r="Z115" s="239"/>
      <c r="AA115" s="239"/>
      <c r="AB115" s="239"/>
      <c r="AC115" s="239"/>
      <c r="AD115" s="239"/>
      <c r="AE115" s="239"/>
      <c r="AF115" s="239"/>
      <c r="AG115" s="239"/>
      <c r="AH115" s="239"/>
      <c r="AI115" s="239"/>
      <c r="AJ115" s="239"/>
      <c r="AK115" s="239"/>
      <c r="AL115" s="239"/>
      <c r="AM115" s="239"/>
      <c r="AN115" s="239"/>
      <c r="AO115" s="239"/>
      <c r="AP115" s="239"/>
      <c r="AQ115" s="239"/>
      <c r="AR115" s="239"/>
      <c r="AS115" s="239"/>
      <c r="AT115" s="239"/>
      <c r="AU115" s="239"/>
      <c r="AV115" s="239"/>
      <c r="AW115" s="239"/>
      <c r="AX115" s="239"/>
      <c r="AY115" s="239"/>
      <c r="AZ115" s="239"/>
      <c r="BA115" s="239"/>
      <c r="BB115" s="239"/>
      <c r="BC115" s="239"/>
      <c r="BD115" s="239"/>
      <c r="BE115" s="239"/>
      <c r="BF115" s="239"/>
      <c r="BG115" s="239"/>
      <c r="BH115" s="239"/>
      <c r="BI115" s="4"/>
      <c r="BJ115" s="4"/>
    </row>
    <row r="117" spans="1:62" s="67" customFormat="1" ht="48" outlineLevel="1" x14ac:dyDescent="0.2">
      <c r="A117" s="113"/>
      <c r="B117" s="240" t="s">
        <v>170</v>
      </c>
      <c r="C117" s="241" t="s">
        <v>363</v>
      </c>
      <c r="D117" s="242"/>
      <c r="E117" s="241" t="s">
        <v>364</v>
      </c>
      <c r="F117" s="243" t="s">
        <v>365</v>
      </c>
      <c r="G117" s="241" t="s">
        <v>366</v>
      </c>
      <c r="H117" s="241" t="s">
        <v>199</v>
      </c>
      <c r="I117" s="241" t="s">
        <v>200</v>
      </c>
      <c r="J117" s="244">
        <v>0</v>
      </c>
      <c r="K117" s="245">
        <f>K125+K118+K119+K120+K121+K122+K126+K123+K124</f>
        <v>0</v>
      </c>
      <c r="L117" s="245">
        <f t="shared" ref="L117:N117" si="73">L125+L118+L119+L120+L121+L122+L126+L123+L124</f>
        <v>8000</v>
      </c>
      <c r="M117" s="245">
        <f t="shared" si="73"/>
        <v>7000</v>
      </c>
      <c r="N117" s="245">
        <f t="shared" si="73"/>
        <v>0</v>
      </c>
      <c r="O117" s="172">
        <f>O125+O118+O119+O120+O121+O122+O126+O123+O124</f>
        <v>15000</v>
      </c>
      <c r="P117" s="189">
        <f t="shared" ref="P117:V117" si="74">P125+P118+P119+P120+P121+P122+P126+P123+P124</f>
        <v>0</v>
      </c>
      <c r="Q117" s="189">
        <f t="shared" si="74"/>
        <v>0</v>
      </c>
      <c r="R117" s="189">
        <f t="shared" si="74"/>
        <v>0</v>
      </c>
      <c r="S117" s="189">
        <f t="shared" si="74"/>
        <v>16000</v>
      </c>
      <c r="T117" s="189">
        <f t="shared" si="74"/>
        <v>0</v>
      </c>
      <c r="U117" s="189">
        <f t="shared" si="74"/>
        <v>0</v>
      </c>
      <c r="V117" s="189">
        <f t="shared" si="74"/>
        <v>0</v>
      </c>
      <c r="W117" s="146">
        <f t="shared" ref="W117:W136" si="75">O117+P117+Q117+R117+S117+T117+U117+V117</f>
        <v>31000</v>
      </c>
      <c r="X117" s="174">
        <f t="shared" ref="X117:X137" si="76">K117+L117+M117+N117+P117+Q117+R117+S117+T117+U117+V117</f>
        <v>31000</v>
      </c>
      <c r="Y117" s="175" t="s">
        <v>367</v>
      </c>
      <c r="Z117" s="175" t="s">
        <v>225</v>
      </c>
      <c r="AA117" s="175" t="s">
        <v>368</v>
      </c>
      <c r="AB117" s="64"/>
      <c r="AC117" s="63">
        <f t="shared" ref="AC117:AW117" si="77">AC125+AC118+AC119+AC120+AC121+AC122+AC126+AC123+AC124</f>
        <v>0</v>
      </c>
      <c r="AD117" s="63">
        <f t="shared" si="77"/>
        <v>0</v>
      </c>
      <c r="AE117" s="63" t="e">
        <f t="shared" si="77"/>
        <v>#REF!</v>
      </c>
      <c r="AF117" s="63" t="e">
        <f t="shared" si="77"/>
        <v>#REF!</v>
      </c>
      <c r="AG117" s="63" t="e">
        <f t="shared" si="77"/>
        <v>#REF!</v>
      </c>
      <c r="AH117" s="63" t="e">
        <f t="shared" si="77"/>
        <v>#REF!</v>
      </c>
      <c r="AI117" s="63" t="e">
        <f t="shared" si="77"/>
        <v>#REF!</v>
      </c>
      <c r="AJ117" s="63" t="e">
        <f t="shared" si="77"/>
        <v>#REF!</v>
      </c>
      <c r="AK117" s="63" t="e">
        <f t="shared" si="77"/>
        <v>#REF!</v>
      </c>
      <c r="AL117" s="63" t="e">
        <f t="shared" si="77"/>
        <v>#REF!</v>
      </c>
      <c r="AM117" s="64"/>
      <c r="AN117" s="64">
        <f t="shared" si="77"/>
        <v>0</v>
      </c>
      <c r="AO117" s="64">
        <f t="shared" si="77"/>
        <v>0</v>
      </c>
      <c r="AP117" s="64" t="e">
        <f t="shared" si="77"/>
        <v>#REF!</v>
      </c>
      <c r="AQ117" s="64" t="e">
        <f t="shared" si="77"/>
        <v>#REF!</v>
      </c>
      <c r="AR117" s="64" t="e">
        <f t="shared" si="77"/>
        <v>#REF!</v>
      </c>
      <c r="AS117" s="64" t="e">
        <f t="shared" si="77"/>
        <v>#REF!</v>
      </c>
      <c r="AT117" s="64" t="e">
        <f t="shared" si="77"/>
        <v>#REF!</v>
      </c>
      <c r="AU117" s="64" t="e">
        <f t="shared" si="77"/>
        <v>#REF!</v>
      </c>
      <c r="AV117" s="64" t="e">
        <f t="shared" si="77"/>
        <v>#REF!</v>
      </c>
      <c r="AW117" s="64" t="e">
        <f t="shared" si="77"/>
        <v>#REF!</v>
      </c>
      <c r="AX117" s="65"/>
      <c r="AY117" s="65"/>
      <c r="AZ117" s="65"/>
      <c r="BA117" s="65"/>
      <c r="BB117" s="65"/>
      <c r="BC117" s="65"/>
      <c r="BD117" s="65"/>
      <c r="BE117" s="65"/>
      <c r="BF117" s="65"/>
      <c r="BG117" s="65"/>
      <c r="BH117" s="65"/>
      <c r="BI117" s="3"/>
      <c r="BJ117" s="3"/>
    </row>
    <row r="118" spans="1:62" s="67" customFormat="1" ht="32" outlineLevel="2" x14ac:dyDescent="0.2">
      <c r="A118" s="113">
        <v>45</v>
      </c>
      <c r="B118" s="246" t="s">
        <v>170</v>
      </c>
      <c r="C118" s="246" t="s">
        <v>369</v>
      </c>
      <c r="D118" s="247"/>
      <c r="E118" s="186" t="s">
        <v>370</v>
      </c>
      <c r="F118" s="170">
        <v>5</v>
      </c>
      <c r="G118" s="170" t="s">
        <v>371</v>
      </c>
      <c r="H118" s="170" t="s">
        <v>199</v>
      </c>
      <c r="I118" s="168" t="s">
        <v>200</v>
      </c>
      <c r="J118" s="147">
        <v>0</v>
      </c>
      <c r="K118" s="108"/>
      <c r="L118" s="108"/>
      <c r="M118" s="108"/>
      <c r="N118" s="180">
        <v>0</v>
      </c>
      <c r="O118" s="172">
        <f t="shared" ref="O118:O136" si="78">L118+M118+N118</f>
        <v>0</v>
      </c>
      <c r="P118" s="60"/>
      <c r="Q118" s="60"/>
      <c r="R118" s="60"/>
      <c r="S118" s="180">
        <v>2000</v>
      </c>
      <c r="T118" s="60"/>
      <c r="U118" s="60"/>
      <c r="V118" s="60"/>
      <c r="W118" s="146">
        <f t="shared" si="75"/>
        <v>2000</v>
      </c>
      <c r="X118" s="174">
        <f t="shared" si="76"/>
        <v>2000</v>
      </c>
      <c r="Y118" s="175" t="s">
        <v>367</v>
      </c>
      <c r="Z118" s="175" t="s">
        <v>225</v>
      </c>
      <c r="AA118" s="175" t="s">
        <v>368</v>
      </c>
      <c r="AB118" s="64"/>
      <c r="AC118" s="63"/>
      <c r="AD118" s="63"/>
      <c r="AE118" s="63"/>
      <c r="AF118" s="248">
        <v>0</v>
      </c>
      <c r="AG118" s="248">
        <v>0</v>
      </c>
      <c r="AH118" s="248">
        <v>0</v>
      </c>
      <c r="AI118" s="180">
        <v>0</v>
      </c>
      <c r="AJ118" s="180" t="e">
        <f>'[1]PV inv 2 mnkr'!L8</f>
        <v>#REF!</v>
      </c>
      <c r="AK118" s="180" t="e">
        <f>'[1]PV inv 2 mnkr'!M8</f>
        <v>#REF!</v>
      </c>
      <c r="AL118" s="180" t="e">
        <f>'[1]PV inv 2 mnkr'!N8</f>
        <v>#REF!</v>
      </c>
      <c r="AM118" s="64"/>
      <c r="AN118" s="64"/>
      <c r="AO118" s="64"/>
      <c r="AP118" s="64"/>
      <c r="AQ118" s="248">
        <v>0</v>
      </c>
      <c r="AR118" s="248">
        <v>0</v>
      </c>
      <c r="AS118" s="248">
        <v>0</v>
      </c>
      <c r="AT118" s="180">
        <v>0</v>
      </c>
      <c r="AU118" s="180" t="e">
        <f>-'[1]PV inv 2 mnkr'!L22</f>
        <v>#REF!</v>
      </c>
      <c r="AV118" s="180" t="e">
        <f>-'[1]PV inv 2 mnkr'!M22</f>
        <v>#REF!</v>
      </c>
      <c r="AW118" s="180" t="e">
        <f>-'[1]PV inv 2 mnkr'!N22</f>
        <v>#REF!</v>
      </c>
      <c r="AX118" s="65"/>
      <c r="AY118" s="65"/>
      <c r="AZ118" s="65"/>
      <c r="BA118" s="65"/>
      <c r="BB118" s="65"/>
      <c r="BC118" s="65"/>
      <c r="BD118" s="65"/>
      <c r="BE118" s="65"/>
      <c r="BF118" s="65"/>
      <c r="BG118" s="65"/>
      <c r="BH118" s="65"/>
      <c r="BI118" s="3"/>
      <c r="BJ118" s="3"/>
    </row>
    <row r="119" spans="1:62" s="67" customFormat="1" ht="32" outlineLevel="2" x14ac:dyDescent="0.2">
      <c r="A119" s="113">
        <v>46</v>
      </c>
      <c r="B119" s="246" t="s">
        <v>170</v>
      </c>
      <c r="C119" s="186" t="s">
        <v>372</v>
      </c>
      <c r="D119" s="247"/>
      <c r="E119" s="186" t="s">
        <v>373</v>
      </c>
      <c r="F119" s="170">
        <v>6</v>
      </c>
      <c r="G119" s="170" t="s">
        <v>374</v>
      </c>
      <c r="H119" s="170" t="s">
        <v>199</v>
      </c>
      <c r="I119" s="168" t="s">
        <v>200</v>
      </c>
      <c r="J119" s="147">
        <v>0</v>
      </c>
      <c r="K119" s="108"/>
      <c r="L119" s="108"/>
      <c r="M119" s="108"/>
      <c r="N119" s="180">
        <v>0</v>
      </c>
      <c r="O119" s="172">
        <f t="shared" si="78"/>
        <v>0</v>
      </c>
      <c r="P119" s="60"/>
      <c r="Q119" s="60"/>
      <c r="R119" s="60"/>
      <c r="S119" s="180">
        <v>2000</v>
      </c>
      <c r="T119" s="60"/>
      <c r="U119" s="60"/>
      <c r="V119" s="60"/>
      <c r="W119" s="146">
        <f t="shared" si="75"/>
        <v>2000</v>
      </c>
      <c r="X119" s="174">
        <f t="shared" si="76"/>
        <v>2000</v>
      </c>
      <c r="Y119" s="175" t="s">
        <v>367</v>
      </c>
      <c r="Z119" s="175" t="s">
        <v>225</v>
      </c>
      <c r="AA119" s="175" t="s">
        <v>368</v>
      </c>
      <c r="AB119" s="64"/>
      <c r="AC119" s="63"/>
      <c r="AD119" s="63"/>
      <c r="AE119" s="63"/>
      <c r="AF119" s="248">
        <v>0</v>
      </c>
      <c r="AG119" s="248">
        <v>0</v>
      </c>
      <c r="AH119" s="248">
        <v>0</v>
      </c>
      <c r="AI119" s="180">
        <v>0</v>
      </c>
      <c r="AJ119" s="180" t="e">
        <f>'[1]PV inv 2 mnkr'!L8</f>
        <v>#REF!</v>
      </c>
      <c r="AK119" s="180" t="e">
        <f>'[1]PV inv 2 mnkr'!M8</f>
        <v>#REF!</v>
      </c>
      <c r="AL119" s="180" t="e">
        <f>'[1]PV inv 2 mnkr'!N8</f>
        <v>#REF!</v>
      </c>
      <c r="AM119" s="64"/>
      <c r="AN119" s="64"/>
      <c r="AO119" s="64"/>
      <c r="AP119" s="64"/>
      <c r="AQ119" s="248">
        <v>0</v>
      </c>
      <c r="AR119" s="248">
        <v>0</v>
      </c>
      <c r="AS119" s="248">
        <v>0</v>
      </c>
      <c r="AT119" s="180">
        <v>0</v>
      </c>
      <c r="AU119" s="180" t="e">
        <f>-'[1]PV inv 2 mnkr'!L22</f>
        <v>#REF!</v>
      </c>
      <c r="AV119" s="180" t="e">
        <f>-'[1]PV inv 2 mnkr'!M22</f>
        <v>#REF!</v>
      </c>
      <c r="AW119" s="180" t="e">
        <f>-'[1]PV inv 2 mnkr'!N22</f>
        <v>#REF!</v>
      </c>
      <c r="AX119" s="65"/>
      <c r="AY119" s="65"/>
      <c r="AZ119" s="65"/>
      <c r="BA119" s="65"/>
      <c r="BB119" s="65"/>
      <c r="BC119" s="65"/>
      <c r="BD119" s="65"/>
      <c r="BE119" s="65"/>
      <c r="BF119" s="65"/>
      <c r="BG119" s="65"/>
      <c r="BH119" s="65"/>
      <c r="BI119" s="3"/>
      <c r="BJ119" s="3"/>
    </row>
    <row r="120" spans="1:62" s="67" customFormat="1" ht="32" outlineLevel="2" x14ac:dyDescent="0.2">
      <c r="A120" s="113">
        <v>47</v>
      </c>
      <c r="B120" s="147" t="s">
        <v>170</v>
      </c>
      <c r="C120" s="168" t="s">
        <v>375</v>
      </c>
      <c r="D120" s="147"/>
      <c r="E120" s="147" t="s">
        <v>376</v>
      </c>
      <c r="F120" s="170">
        <v>7</v>
      </c>
      <c r="G120" s="170" t="s">
        <v>377</v>
      </c>
      <c r="H120" s="170" t="s">
        <v>199</v>
      </c>
      <c r="I120" s="168" t="s">
        <v>200</v>
      </c>
      <c r="J120" s="147">
        <v>0</v>
      </c>
      <c r="K120" s="108"/>
      <c r="L120" s="108">
        <v>8000</v>
      </c>
      <c r="M120" s="108">
        <v>7000</v>
      </c>
      <c r="N120" s="108"/>
      <c r="O120" s="172">
        <f t="shared" si="78"/>
        <v>15000</v>
      </c>
      <c r="P120" s="60"/>
      <c r="Q120" s="60"/>
      <c r="R120" s="60"/>
      <c r="S120" s="60"/>
      <c r="T120" s="60"/>
      <c r="U120" s="60"/>
      <c r="V120" s="60"/>
      <c r="W120" s="146">
        <f t="shared" si="75"/>
        <v>15000</v>
      </c>
      <c r="X120" s="174">
        <f t="shared" si="76"/>
        <v>15000</v>
      </c>
      <c r="Y120" s="175" t="s">
        <v>378</v>
      </c>
      <c r="Z120" s="175" t="s">
        <v>225</v>
      </c>
      <c r="AA120" s="175" t="s">
        <v>379</v>
      </c>
      <c r="AB120" s="64"/>
      <c r="AC120" s="63"/>
      <c r="AD120" s="63"/>
      <c r="AE120" s="63" t="e">
        <f>'[1]PV inv 15 mnkr SH'!L8</f>
        <v>#REF!</v>
      </c>
      <c r="AF120" s="63" t="e">
        <f>'[1]PV inv 15 mnkr SH'!M8</f>
        <v>#REF!</v>
      </c>
      <c r="AG120" s="63" t="e">
        <f>'[1]PV inv 15 mnkr SH'!N8</f>
        <v>#REF!</v>
      </c>
      <c r="AH120" s="63" t="e">
        <f>'[1]PV inv 15 mnkr SH'!O8</f>
        <v>#REF!</v>
      </c>
      <c r="AI120" s="63" t="e">
        <f>'[1]PV inv 15 mnkr SH'!P8</f>
        <v>#REF!</v>
      </c>
      <c r="AJ120" s="63" t="e">
        <f>'[1]PV inv 15 mnkr SH'!Q8</f>
        <v>#REF!</v>
      </c>
      <c r="AK120" s="63" t="e">
        <f>'[1]PV inv 15 mnkr SH'!R8</f>
        <v>#REF!</v>
      </c>
      <c r="AL120" s="63" t="e">
        <f>'[1]PV inv 15 mnkr SH'!S8</f>
        <v>#REF!</v>
      </c>
      <c r="AM120" s="64"/>
      <c r="AN120" s="64"/>
      <c r="AO120" s="64"/>
      <c r="AP120" s="64" t="e">
        <f>-'[1]PV inv 15 mnkr SH'!L22</f>
        <v>#REF!</v>
      </c>
      <c r="AQ120" s="64" t="e">
        <f>-'[1]PV inv 15 mnkr SH'!M22</f>
        <v>#REF!</v>
      </c>
      <c r="AR120" s="64" t="e">
        <f>-'[1]PV inv 15 mnkr SH'!N22</f>
        <v>#REF!</v>
      </c>
      <c r="AS120" s="64" t="e">
        <f>-'[1]PV inv 15 mnkr SH'!O22</f>
        <v>#REF!</v>
      </c>
      <c r="AT120" s="64" t="e">
        <f>-'[1]PV inv 15 mnkr SH'!P22</f>
        <v>#REF!</v>
      </c>
      <c r="AU120" s="64" t="e">
        <f>-'[1]PV inv 15 mnkr SH'!Q22</f>
        <v>#REF!</v>
      </c>
      <c r="AV120" s="64" t="e">
        <f>-'[1]PV inv 15 mnkr SH'!R22</f>
        <v>#REF!</v>
      </c>
      <c r="AW120" s="64" t="e">
        <f>-'[1]PV inv 15 mnkr SH'!S22</f>
        <v>#REF!</v>
      </c>
      <c r="AX120" s="65"/>
      <c r="AY120" s="65"/>
      <c r="AZ120" s="65"/>
      <c r="BA120" s="65"/>
      <c r="BB120" s="65"/>
      <c r="BC120" s="65"/>
      <c r="BD120" s="65"/>
      <c r="BE120" s="65"/>
      <c r="BF120" s="65"/>
      <c r="BG120" s="65"/>
      <c r="BH120" s="65"/>
      <c r="BI120" s="3"/>
      <c r="BJ120" s="3"/>
    </row>
    <row r="121" spans="1:62" s="67" customFormat="1" ht="32" outlineLevel="2" x14ac:dyDescent="0.2">
      <c r="A121" s="113">
        <v>48</v>
      </c>
      <c r="B121" s="246" t="s">
        <v>170</v>
      </c>
      <c r="C121" s="186" t="s">
        <v>380</v>
      </c>
      <c r="D121" s="247"/>
      <c r="E121" s="186" t="s">
        <v>381</v>
      </c>
      <c r="F121" s="170">
        <v>8</v>
      </c>
      <c r="G121" s="170" t="s">
        <v>382</v>
      </c>
      <c r="H121" s="170" t="s">
        <v>199</v>
      </c>
      <c r="I121" s="168" t="s">
        <v>200</v>
      </c>
      <c r="J121" s="147">
        <v>0</v>
      </c>
      <c r="K121" s="108"/>
      <c r="L121" s="108"/>
      <c r="M121" s="108"/>
      <c r="N121" s="180">
        <v>0</v>
      </c>
      <c r="O121" s="172">
        <f t="shared" si="78"/>
        <v>0</v>
      </c>
      <c r="P121" s="60"/>
      <c r="Q121" s="60"/>
      <c r="R121" s="60"/>
      <c r="S121" s="180">
        <v>2000</v>
      </c>
      <c r="T121" s="60"/>
      <c r="U121" s="60"/>
      <c r="V121" s="60"/>
      <c r="W121" s="146">
        <f t="shared" si="75"/>
        <v>2000</v>
      </c>
      <c r="X121" s="174">
        <f t="shared" si="76"/>
        <v>2000</v>
      </c>
      <c r="Y121" s="175" t="s">
        <v>367</v>
      </c>
      <c r="Z121" s="175" t="s">
        <v>225</v>
      </c>
      <c r="AA121" s="175" t="s">
        <v>368</v>
      </c>
      <c r="AB121" s="64"/>
      <c r="AC121" s="63"/>
      <c r="AD121" s="63"/>
      <c r="AE121" s="63"/>
      <c r="AF121" s="248">
        <v>0</v>
      </c>
      <c r="AG121" s="248">
        <v>0</v>
      </c>
      <c r="AH121" s="248">
        <v>0</v>
      </c>
      <c r="AI121" s="180">
        <v>0</v>
      </c>
      <c r="AJ121" s="180" t="e">
        <f>'[1]PV inv 2 mnkr'!L8</f>
        <v>#REF!</v>
      </c>
      <c r="AK121" s="180" t="e">
        <f>'[1]PV inv 2 mnkr'!M8</f>
        <v>#REF!</v>
      </c>
      <c r="AL121" s="180" t="e">
        <f>'[1]PV inv 2 mnkr'!N8</f>
        <v>#REF!</v>
      </c>
      <c r="AM121" s="64"/>
      <c r="AN121" s="64"/>
      <c r="AO121" s="64"/>
      <c r="AP121" s="64"/>
      <c r="AQ121" s="248">
        <v>0</v>
      </c>
      <c r="AR121" s="248">
        <v>0</v>
      </c>
      <c r="AS121" s="248">
        <v>0</v>
      </c>
      <c r="AT121" s="180">
        <v>0</v>
      </c>
      <c r="AU121" s="180" t="e">
        <f>-'[1]PV inv 2 mnkr'!L22</f>
        <v>#REF!</v>
      </c>
      <c r="AV121" s="180" t="e">
        <f>-'[1]PV inv 2 mnkr'!M22</f>
        <v>#REF!</v>
      </c>
      <c r="AW121" s="180" t="e">
        <f>-'[1]PV inv 2 mnkr'!N22</f>
        <v>#REF!</v>
      </c>
      <c r="AX121" s="65"/>
      <c r="AY121" s="65"/>
      <c r="AZ121" s="65"/>
      <c r="BA121" s="65"/>
      <c r="BB121" s="65"/>
      <c r="BC121" s="65"/>
      <c r="BD121" s="65"/>
      <c r="BE121" s="65"/>
      <c r="BF121" s="65"/>
      <c r="BG121" s="65"/>
      <c r="BH121" s="65"/>
      <c r="BI121" s="3"/>
      <c r="BJ121" s="3"/>
    </row>
    <row r="122" spans="1:62" s="67" customFormat="1" ht="32" outlineLevel="2" x14ac:dyDescent="0.2">
      <c r="A122" s="113">
        <v>49</v>
      </c>
      <c r="B122" s="246" t="s">
        <v>170</v>
      </c>
      <c r="C122" s="186" t="s">
        <v>383</v>
      </c>
      <c r="D122" s="247"/>
      <c r="E122" s="186" t="s">
        <v>384</v>
      </c>
      <c r="F122" s="170">
        <v>13</v>
      </c>
      <c r="G122" s="170" t="s">
        <v>374</v>
      </c>
      <c r="H122" s="170" t="s">
        <v>199</v>
      </c>
      <c r="I122" s="168" t="s">
        <v>200</v>
      </c>
      <c r="J122" s="147">
        <v>0</v>
      </c>
      <c r="K122" s="108"/>
      <c r="L122" s="108"/>
      <c r="M122" s="108"/>
      <c r="N122" s="108"/>
      <c r="O122" s="172">
        <f t="shared" si="78"/>
        <v>0</v>
      </c>
      <c r="P122" s="60"/>
      <c r="Q122" s="180">
        <v>0</v>
      </c>
      <c r="R122" s="60"/>
      <c r="S122" s="180">
        <v>2000</v>
      </c>
      <c r="T122" s="60"/>
      <c r="U122" s="60"/>
      <c r="V122" s="60"/>
      <c r="W122" s="146">
        <f t="shared" si="75"/>
        <v>2000</v>
      </c>
      <c r="X122" s="174">
        <f t="shared" si="76"/>
        <v>2000</v>
      </c>
      <c r="Y122" s="175" t="s">
        <v>367</v>
      </c>
      <c r="Z122" s="175" t="s">
        <v>225</v>
      </c>
      <c r="AA122" s="175" t="s">
        <v>368</v>
      </c>
      <c r="AB122" s="64"/>
      <c r="AC122" s="63"/>
      <c r="AD122" s="63"/>
      <c r="AE122" s="63"/>
      <c r="AF122" s="63"/>
      <c r="AG122" s="63"/>
      <c r="AH122" s="248"/>
      <c r="AI122" s="248"/>
      <c r="AJ122" s="180" t="e">
        <f>'[1]PV inv 2 mnkr'!L8</f>
        <v>#REF!</v>
      </c>
      <c r="AK122" s="180" t="e">
        <f>'[1]PV inv 2 mnkr'!M8</f>
        <v>#REF!</v>
      </c>
      <c r="AL122" s="180" t="e">
        <f>'[1]PV inv 2 mnkr'!N8</f>
        <v>#REF!</v>
      </c>
      <c r="AM122" s="64"/>
      <c r="AN122" s="64"/>
      <c r="AO122" s="64"/>
      <c r="AP122" s="64"/>
      <c r="AQ122" s="64"/>
      <c r="AR122" s="64"/>
      <c r="AS122" s="248">
        <v>0</v>
      </c>
      <c r="AT122" s="180">
        <v>0</v>
      </c>
      <c r="AU122" s="180" t="e">
        <f>-'[1]PV inv 2 mnkr'!L22</f>
        <v>#REF!</v>
      </c>
      <c r="AV122" s="180" t="e">
        <f>-'[1]PV inv 2 mnkr'!M22</f>
        <v>#REF!</v>
      </c>
      <c r="AW122" s="180" t="e">
        <f>-'[1]PV inv 2 mnkr'!N22</f>
        <v>#REF!</v>
      </c>
      <c r="AX122" s="65"/>
      <c r="AY122" s="65"/>
      <c r="AZ122" s="65"/>
      <c r="BA122" s="65"/>
      <c r="BB122" s="65"/>
      <c r="BC122" s="65"/>
      <c r="BD122" s="65"/>
      <c r="BE122" s="65"/>
      <c r="BF122" s="65"/>
      <c r="BG122" s="65"/>
      <c r="BH122" s="65"/>
      <c r="BI122" s="3"/>
      <c r="BJ122" s="3"/>
    </row>
    <row r="123" spans="1:62" s="67" customFormat="1" ht="16" outlineLevel="2" x14ac:dyDescent="0.2">
      <c r="A123" s="113">
        <v>50</v>
      </c>
      <c r="B123" s="246" t="s">
        <v>170</v>
      </c>
      <c r="C123" s="186" t="s">
        <v>385</v>
      </c>
      <c r="D123" s="247"/>
      <c r="E123" s="186" t="s">
        <v>386</v>
      </c>
      <c r="F123" s="170">
        <v>10</v>
      </c>
      <c r="G123" s="170" t="s">
        <v>387</v>
      </c>
      <c r="H123" s="170" t="s">
        <v>199</v>
      </c>
      <c r="I123" s="168" t="s">
        <v>200</v>
      </c>
      <c r="J123" s="147">
        <v>0</v>
      </c>
      <c r="K123" s="108"/>
      <c r="L123" s="180">
        <v>0</v>
      </c>
      <c r="M123" s="108"/>
      <c r="N123" s="108"/>
      <c r="O123" s="172">
        <f t="shared" si="78"/>
        <v>0</v>
      </c>
      <c r="P123" s="60"/>
      <c r="Q123" s="60"/>
      <c r="R123" s="60"/>
      <c r="S123" s="180">
        <v>2000</v>
      </c>
      <c r="T123" s="60"/>
      <c r="U123" s="60"/>
      <c r="V123" s="60"/>
      <c r="W123" s="146">
        <f t="shared" si="75"/>
        <v>2000</v>
      </c>
      <c r="X123" s="174">
        <f t="shared" si="76"/>
        <v>2000</v>
      </c>
      <c r="Y123" s="175" t="s">
        <v>367</v>
      </c>
      <c r="Z123" s="175" t="s">
        <v>225</v>
      </c>
      <c r="AA123" s="175" t="s">
        <v>368</v>
      </c>
      <c r="AB123" s="64"/>
      <c r="AC123" s="63"/>
      <c r="AD123" s="248">
        <v>0</v>
      </c>
      <c r="AE123" s="248">
        <v>0</v>
      </c>
      <c r="AF123" s="248">
        <v>0</v>
      </c>
      <c r="AG123" s="180">
        <v>0</v>
      </c>
      <c r="AH123" s="180">
        <v>0</v>
      </c>
      <c r="AI123" s="180">
        <v>0</v>
      </c>
      <c r="AJ123" s="180" t="e">
        <f>'[1]PV inv 2 mnkr'!L8</f>
        <v>#REF!</v>
      </c>
      <c r="AK123" s="180" t="e">
        <f>'[1]PV inv 2 mnkr'!M8</f>
        <v>#REF!</v>
      </c>
      <c r="AL123" s="180" t="e">
        <f>'[1]PV inv 2 mnkr'!N8</f>
        <v>#REF!</v>
      </c>
      <c r="AM123" s="64"/>
      <c r="AN123" s="64"/>
      <c r="AO123" s="180">
        <v>0</v>
      </c>
      <c r="AP123" s="180">
        <v>0</v>
      </c>
      <c r="AQ123" s="180">
        <v>0</v>
      </c>
      <c r="AR123" s="180">
        <v>0</v>
      </c>
      <c r="AS123" s="180">
        <v>0</v>
      </c>
      <c r="AT123" s="180">
        <v>0</v>
      </c>
      <c r="AU123" s="180" t="e">
        <f>-'[1]PV inv 2 mnkr'!L22</f>
        <v>#REF!</v>
      </c>
      <c r="AV123" s="180" t="e">
        <f>-'[1]PV inv 2 mnkr'!M22</f>
        <v>#REF!</v>
      </c>
      <c r="AW123" s="180" t="e">
        <f>-'[1]PV inv 2 mnkr'!N22</f>
        <v>#REF!</v>
      </c>
      <c r="AX123" s="65"/>
      <c r="AY123" s="65"/>
      <c r="AZ123" s="65"/>
      <c r="BA123" s="65"/>
      <c r="BB123" s="65"/>
      <c r="BC123" s="65"/>
      <c r="BD123" s="65"/>
      <c r="BE123" s="65"/>
      <c r="BF123" s="65"/>
      <c r="BG123" s="65"/>
      <c r="BH123" s="65"/>
      <c r="BI123" s="3"/>
      <c r="BJ123" s="3"/>
    </row>
    <row r="124" spans="1:62" s="67" customFormat="1" ht="32" outlineLevel="2" x14ac:dyDescent="0.2">
      <c r="A124" s="113">
        <v>51</v>
      </c>
      <c r="B124" s="246" t="s">
        <v>170</v>
      </c>
      <c r="C124" s="186" t="s">
        <v>388</v>
      </c>
      <c r="D124" s="247"/>
      <c r="E124" s="186" t="s">
        <v>389</v>
      </c>
      <c r="F124" s="170">
        <v>9</v>
      </c>
      <c r="G124" s="170" t="s">
        <v>374</v>
      </c>
      <c r="H124" s="170" t="s">
        <v>199</v>
      </c>
      <c r="I124" s="168" t="s">
        <v>200</v>
      </c>
      <c r="J124" s="147">
        <v>0</v>
      </c>
      <c r="K124" s="108"/>
      <c r="L124" s="108"/>
      <c r="M124" s="108"/>
      <c r="N124" s="108"/>
      <c r="O124" s="172">
        <f t="shared" si="78"/>
        <v>0</v>
      </c>
      <c r="P124" s="180">
        <v>0</v>
      </c>
      <c r="Q124" s="60"/>
      <c r="R124" s="60"/>
      <c r="S124" s="180">
        <v>2000</v>
      </c>
      <c r="T124" s="60"/>
      <c r="U124" s="60"/>
      <c r="V124" s="60"/>
      <c r="W124" s="146">
        <f t="shared" si="75"/>
        <v>2000</v>
      </c>
      <c r="X124" s="174">
        <f t="shared" si="76"/>
        <v>2000</v>
      </c>
      <c r="Y124" s="175" t="s">
        <v>367</v>
      </c>
      <c r="Z124" s="175" t="s">
        <v>225</v>
      </c>
      <c r="AA124" s="175" t="s">
        <v>368</v>
      </c>
      <c r="AB124" s="64"/>
      <c r="AC124" s="63"/>
      <c r="AD124" s="63"/>
      <c r="AE124" s="63"/>
      <c r="AF124" s="180">
        <v>0</v>
      </c>
      <c r="AG124" s="180">
        <v>0</v>
      </c>
      <c r="AH124" s="180">
        <v>0</v>
      </c>
      <c r="AI124" s="180">
        <v>0</v>
      </c>
      <c r="AJ124" s="180" t="e">
        <f>'[1]PV inv 2 mnkr'!L8</f>
        <v>#REF!</v>
      </c>
      <c r="AK124" s="180" t="e">
        <f>'[1]PV inv 2 mnkr'!M8</f>
        <v>#REF!</v>
      </c>
      <c r="AL124" s="180" t="e">
        <f>'[1]PV inv 2 mnkr'!N8</f>
        <v>#REF!</v>
      </c>
      <c r="AM124" s="64"/>
      <c r="AN124" s="64"/>
      <c r="AO124" s="64"/>
      <c r="AP124" s="64"/>
      <c r="AQ124" s="180">
        <v>0</v>
      </c>
      <c r="AR124" s="180">
        <v>0</v>
      </c>
      <c r="AS124" s="180">
        <v>0</v>
      </c>
      <c r="AT124" s="180">
        <v>0</v>
      </c>
      <c r="AU124" s="180" t="e">
        <f>-'[1]PV inv 2 mnkr'!L22</f>
        <v>#REF!</v>
      </c>
      <c r="AV124" s="180" t="e">
        <f>-'[1]PV inv 2 mnkr'!M22</f>
        <v>#REF!</v>
      </c>
      <c r="AW124" s="180" t="e">
        <f>-'[1]PV inv 2 mnkr'!N22</f>
        <v>#REF!</v>
      </c>
      <c r="AX124" s="65"/>
      <c r="AY124" s="65"/>
      <c r="AZ124" s="65"/>
      <c r="BA124" s="65"/>
      <c r="BB124" s="65"/>
      <c r="BC124" s="65"/>
      <c r="BD124" s="65"/>
      <c r="BE124" s="65"/>
      <c r="BF124" s="65"/>
      <c r="BG124" s="65"/>
      <c r="BH124" s="65"/>
      <c r="BI124" s="3"/>
      <c r="BJ124" s="3"/>
    </row>
    <row r="125" spans="1:62" s="67" customFormat="1" ht="32" outlineLevel="2" x14ac:dyDescent="0.2">
      <c r="A125" s="113">
        <v>52</v>
      </c>
      <c r="B125" s="246" t="s">
        <v>170</v>
      </c>
      <c r="C125" s="186" t="s">
        <v>390</v>
      </c>
      <c r="D125" s="247"/>
      <c r="E125" s="186" t="s">
        <v>391</v>
      </c>
      <c r="F125" s="170">
        <v>11</v>
      </c>
      <c r="G125" s="170" t="s">
        <v>392</v>
      </c>
      <c r="H125" s="170" t="s">
        <v>199</v>
      </c>
      <c r="I125" s="168" t="s">
        <v>200</v>
      </c>
      <c r="J125" s="147">
        <v>0</v>
      </c>
      <c r="K125" s="108"/>
      <c r="L125" s="108"/>
      <c r="M125" s="108"/>
      <c r="N125" s="108"/>
      <c r="O125" s="172">
        <f t="shared" si="78"/>
        <v>0</v>
      </c>
      <c r="P125" s="60"/>
      <c r="Q125" s="60"/>
      <c r="R125" s="180">
        <v>0</v>
      </c>
      <c r="S125" s="180">
        <v>2000</v>
      </c>
      <c r="T125" s="60"/>
      <c r="U125" s="60"/>
      <c r="V125" s="60"/>
      <c r="W125" s="146">
        <f t="shared" si="75"/>
        <v>2000</v>
      </c>
      <c r="X125" s="174">
        <f t="shared" si="76"/>
        <v>2000</v>
      </c>
      <c r="Y125" s="175" t="s">
        <v>367</v>
      </c>
      <c r="Z125" s="175" t="s">
        <v>225</v>
      </c>
      <c r="AA125" s="175" t="s">
        <v>368</v>
      </c>
      <c r="AB125" s="64"/>
      <c r="AC125" s="63"/>
      <c r="AD125" s="63"/>
      <c r="AE125" s="63"/>
      <c r="AF125" s="63"/>
      <c r="AG125" s="63"/>
      <c r="AH125" s="63"/>
      <c r="AI125" s="248">
        <v>0</v>
      </c>
      <c r="AJ125" s="180" t="e">
        <f>'[1]PV inv 2 mnkr'!L8</f>
        <v>#REF!</v>
      </c>
      <c r="AK125" s="180" t="e">
        <f>'[1]PV inv 2 mnkr'!M8</f>
        <v>#REF!</v>
      </c>
      <c r="AL125" s="180" t="e">
        <f>'[1]PV inv 2 mnkr'!N8</f>
        <v>#REF!</v>
      </c>
      <c r="AM125" s="64"/>
      <c r="AN125" s="64"/>
      <c r="AO125" s="64"/>
      <c r="AP125" s="64"/>
      <c r="AQ125" s="64"/>
      <c r="AR125" s="64"/>
      <c r="AS125" s="64"/>
      <c r="AT125" s="180">
        <v>0</v>
      </c>
      <c r="AU125" s="180" t="e">
        <f>-'[1]PV inv 2 mnkr'!L22</f>
        <v>#REF!</v>
      </c>
      <c r="AV125" s="180" t="e">
        <f>-'[1]PV inv 2 mnkr'!M22</f>
        <v>#REF!</v>
      </c>
      <c r="AW125" s="180" t="e">
        <f>-'[1]PV inv 2 mnkr'!N22</f>
        <v>#REF!</v>
      </c>
      <c r="AX125" s="65"/>
      <c r="AY125" s="65"/>
      <c r="AZ125" s="65"/>
      <c r="BA125" s="65"/>
      <c r="BB125" s="65"/>
      <c r="BC125" s="65"/>
      <c r="BD125" s="65"/>
      <c r="BE125" s="65"/>
      <c r="BF125" s="65"/>
      <c r="BG125" s="65"/>
      <c r="BH125" s="65"/>
      <c r="BI125" s="3"/>
      <c r="BJ125" s="3"/>
    </row>
    <row r="126" spans="1:62" s="67" customFormat="1" ht="32" outlineLevel="2" x14ac:dyDescent="0.2">
      <c r="A126" s="113">
        <v>53</v>
      </c>
      <c r="B126" s="246" t="s">
        <v>170</v>
      </c>
      <c r="C126" s="186" t="s">
        <v>393</v>
      </c>
      <c r="D126" s="247"/>
      <c r="E126" s="186" t="s">
        <v>391</v>
      </c>
      <c r="F126" s="170">
        <v>12</v>
      </c>
      <c r="G126" s="170" t="s">
        <v>392</v>
      </c>
      <c r="H126" s="170" t="s">
        <v>199</v>
      </c>
      <c r="I126" s="168" t="s">
        <v>200</v>
      </c>
      <c r="J126" s="147">
        <v>0</v>
      </c>
      <c r="K126" s="108"/>
      <c r="L126" s="108"/>
      <c r="M126" s="108"/>
      <c r="N126" s="180">
        <v>0</v>
      </c>
      <c r="O126" s="172">
        <f t="shared" si="78"/>
        <v>0</v>
      </c>
      <c r="P126" s="60"/>
      <c r="Q126" s="60"/>
      <c r="R126" s="60"/>
      <c r="S126" s="180">
        <v>2000</v>
      </c>
      <c r="T126" s="60"/>
      <c r="U126" s="60"/>
      <c r="V126" s="60"/>
      <c r="W126" s="146">
        <f t="shared" si="75"/>
        <v>2000</v>
      </c>
      <c r="X126" s="174">
        <f t="shared" si="76"/>
        <v>2000</v>
      </c>
      <c r="Y126" s="175" t="s">
        <v>367</v>
      </c>
      <c r="Z126" s="175" t="s">
        <v>225</v>
      </c>
      <c r="AA126" s="175" t="s">
        <v>368</v>
      </c>
      <c r="AB126" s="64"/>
      <c r="AC126" s="63"/>
      <c r="AD126" s="63"/>
      <c r="AE126" s="63"/>
      <c r="AF126" s="248">
        <v>0</v>
      </c>
      <c r="AG126" s="248">
        <v>0</v>
      </c>
      <c r="AH126" s="248">
        <v>0</v>
      </c>
      <c r="AI126" s="180">
        <v>0</v>
      </c>
      <c r="AJ126" s="180" t="e">
        <f>'[1]PV inv 2 mnkr'!L8</f>
        <v>#REF!</v>
      </c>
      <c r="AK126" s="180" t="e">
        <f>'[1]PV inv 2 mnkr'!M8</f>
        <v>#REF!</v>
      </c>
      <c r="AL126" s="180" t="e">
        <f>'[1]PV inv 2 mnkr'!N8</f>
        <v>#REF!</v>
      </c>
      <c r="AM126" s="64"/>
      <c r="AN126" s="64"/>
      <c r="AO126" s="64"/>
      <c r="AP126" s="64"/>
      <c r="AQ126" s="248">
        <v>0</v>
      </c>
      <c r="AR126" s="180" t="e">
        <f>-'[1]PV inv 2 mnkr'!L22</f>
        <v>#REF!</v>
      </c>
      <c r="AS126" s="180" t="e">
        <f>-'[1]PV inv 2 mnkr'!M22</f>
        <v>#REF!</v>
      </c>
      <c r="AT126" s="180" t="e">
        <f>-'[1]PV inv 2 mnkr'!N22</f>
        <v>#REF!</v>
      </c>
      <c r="AU126" s="180" t="e">
        <f>-'[1]PV inv 2 mnkr'!O22</f>
        <v>#REF!</v>
      </c>
      <c r="AV126" s="180" t="e">
        <f>-'[1]PV inv 2 mnkr'!P22</f>
        <v>#REF!</v>
      </c>
      <c r="AW126" s="180" t="e">
        <f>-'[1]PV inv 2 mnkr'!Q22</f>
        <v>#REF!</v>
      </c>
      <c r="AX126" s="65"/>
      <c r="AY126" s="65"/>
      <c r="AZ126" s="65"/>
      <c r="BA126" s="65"/>
      <c r="BB126" s="65"/>
      <c r="BC126" s="65"/>
      <c r="BD126" s="65"/>
      <c r="BE126" s="65"/>
      <c r="BF126" s="65"/>
      <c r="BG126" s="65"/>
      <c r="BH126" s="65"/>
      <c r="BI126" s="3"/>
      <c r="BJ126" s="3"/>
    </row>
    <row r="127" spans="1:62" s="211" customFormat="1" ht="64" outlineLevel="1" x14ac:dyDescent="0.2">
      <c r="A127" s="212">
        <v>54</v>
      </c>
      <c r="B127" s="186" t="s">
        <v>170</v>
      </c>
      <c r="C127" s="186" t="s">
        <v>394</v>
      </c>
      <c r="D127" s="187"/>
      <c r="E127" s="186" t="s">
        <v>395</v>
      </c>
      <c r="F127" s="168">
        <v>4</v>
      </c>
      <c r="G127" s="170" t="s">
        <v>396</v>
      </c>
      <c r="H127" s="168" t="s">
        <v>199</v>
      </c>
      <c r="I127" s="168" t="s">
        <v>200</v>
      </c>
      <c r="J127" s="147">
        <v>0</v>
      </c>
      <c r="K127" s="108"/>
      <c r="L127" s="180">
        <v>0</v>
      </c>
      <c r="M127" s="180">
        <v>0</v>
      </c>
      <c r="N127" s="108"/>
      <c r="O127" s="172">
        <f t="shared" si="78"/>
        <v>0</v>
      </c>
      <c r="P127" s="108"/>
      <c r="Q127" s="108"/>
      <c r="R127" s="108"/>
      <c r="S127" s="180">
        <v>12500</v>
      </c>
      <c r="T127" s="180">
        <v>12500</v>
      </c>
      <c r="U127" s="108"/>
      <c r="V127" s="108"/>
      <c r="W127" s="146">
        <f t="shared" si="75"/>
        <v>25000</v>
      </c>
      <c r="X127" s="174">
        <f t="shared" si="76"/>
        <v>25000</v>
      </c>
      <c r="Y127" s="175" t="s">
        <v>397</v>
      </c>
      <c r="Z127" s="175" t="s">
        <v>225</v>
      </c>
      <c r="AA127" s="175" t="s">
        <v>368</v>
      </c>
      <c r="AB127" s="64"/>
      <c r="AC127" s="63"/>
      <c r="AD127" s="63"/>
      <c r="AE127" s="181">
        <v>0</v>
      </c>
      <c r="AF127" s="181">
        <v>0</v>
      </c>
      <c r="AG127" s="180">
        <v>0</v>
      </c>
      <c r="AH127" s="180">
        <v>0</v>
      </c>
      <c r="AI127" s="180">
        <v>0</v>
      </c>
      <c r="AJ127" s="180">
        <v>0</v>
      </c>
      <c r="AK127" s="180" t="e">
        <f>'[1]PV hus C Enköp renov '!L8</f>
        <v>#REF!</v>
      </c>
      <c r="AL127" s="180" t="e">
        <f>'[1]PV hus C Enköp renov '!M8</f>
        <v>#REF!</v>
      </c>
      <c r="AM127" s="64"/>
      <c r="AN127" s="64"/>
      <c r="AO127" s="64"/>
      <c r="AP127" s="181">
        <v>0</v>
      </c>
      <c r="AQ127" s="181">
        <v>0</v>
      </c>
      <c r="AR127" s="180">
        <v>0</v>
      </c>
      <c r="AS127" s="180">
        <v>0</v>
      </c>
      <c r="AT127" s="180">
        <v>0</v>
      </c>
      <c r="AU127" s="180">
        <v>0</v>
      </c>
      <c r="AV127" s="180" t="e">
        <f>-'[1]PV hus C Enköp renov '!L22</f>
        <v>#REF!</v>
      </c>
      <c r="AW127" s="180" t="e">
        <f>-'[1]PV hus C Enköp renov '!M22</f>
        <v>#REF!</v>
      </c>
      <c r="AX127" s="65"/>
      <c r="AY127" s="65"/>
      <c r="AZ127" s="65"/>
      <c r="BA127" s="65"/>
      <c r="BB127" s="65"/>
      <c r="BC127" s="65"/>
      <c r="BD127" s="65"/>
      <c r="BE127" s="65"/>
      <c r="BF127" s="65"/>
      <c r="BG127" s="65"/>
      <c r="BH127" s="65"/>
      <c r="BI127" s="210"/>
      <c r="BJ127" s="210"/>
    </row>
    <row r="128" spans="1:62" s="67" customFormat="1" ht="32" outlineLevel="1" x14ac:dyDescent="0.2">
      <c r="A128" s="113">
        <v>55</v>
      </c>
      <c r="B128" s="186" t="s">
        <v>398</v>
      </c>
      <c r="C128" s="186" t="s">
        <v>399</v>
      </c>
      <c r="D128" s="187"/>
      <c r="E128" s="186" t="s">
        <v>400</v>
      </c>
      <c r="F128" s="249" t="s">
        <v>401</v>
      </c>
      <c r="G128" s="168" t="s">
        <v>402</v>
      </c>
      <c r="H128" s="170" t="s">
        <v>199</v>
      </c>
      <c r="I128" s="168" t="s">
        <v>200</v>
      </c>
      <c r="J128" s="147">
        <v>0</v>
      </c>
      <c r="K128" s="108"/>
      <c r="L128" s="108"/>
      <c r="M128" s="108"/>
      <c r="N128" s="108"/>
      <c r="O128" s="172">
        <f t="shared" si="78"/>
        <v>0</v>
      </c>
      <c r="P128" s="180">
        <v>0</v>
      </c>
      <c r="Q128" s="180">
        <v>0</v>
      </c>
      <c r="R128" s="108"/>
      <c r="S128" s="180">
        <v>100000</v>
      </c>
      <c r="T128" s="180">
        <v>100000</v>
      </c>
      <c r="U128" s="108"/>
      <c r="V128" s="108"/>
      <c r="W128" s="146">
        <f t="shared" si="75"/>
        <v>200000</v>
      </c>
      <c r="X128" s="174">
        <f t="shared" si="76"/>
        <v>200000</v>
      </c>
      <c r="Y128" s="175"/>
      <c r="Z128" s="175" t="s">
        <v>225</v>
      </c>
      <c r="AA128" s="175" t="s">
        <v>403</v>
      </c>
      <c r="AB128" s="64"/>
      <c r="AC128" s="63"/>
      <c r="AD128" s="63"/>
      <c r="AE128" s="63"/>
      <c r="AF128" s="63"/>
      <c r="AG128" s="63"/>
      <c r="AH128" s="248">
        <v>0</v>
      </c>
      <c r="AI128" s="248">
        <v>0</v>
      </c>
      <c r="AJ128" s="180">
        <v>0</v>
      </c>
      <c r="AK128" s="180" t="e">
        <f>'[1]Tierp nybyggnation '!L8</f>
        <v>#REF!</v>
      </c>
      <c r="AL128" s="180" t="e">
        <f>'[1]Tierp nybyggnation '!M8</f>
        <v>#REF!</v>
      </c>
      <c r="AM128" s="64"/>
      <c r="AN128" s="64"/>
      <c r="AO128" s="64"/>
      <c r="AP128" s="64"/>
      <c r="AQ128" s="64"/>
      <c r="AR128" s="64"/>
      <c r="AS128" s="248">
        <v>0</v>
      </c>
      <c r="AT128" s="248">
        <v>0</v>
      </c>
      <c r="AU128" s="180">
        <v>0</v>
      </c>
      <c r="AV128" s="180" t="e">
        <f>-'[1]Tierp nybyggnation '!L22</f>
        <v>#REF!</v>
      </c>
      <c r="AW128" s="180" t="e">
        <f>-'[1]Tierp nybyggnation '!M22</f>
        <v>#REF!</v>
      </c>
      <c r="AX128" s="65"/>
      <c r="AY128" s="65"/>
      <c r="AZ128" s="65"/>
      <c r="BA128" s="65"/>
      <c r="BB128" s="65"/>
      <c r="BC128" s="65"/>
      <c r="BD128" s="65"/>
      <c r="BE128" s="65"/>
      <c r="BF128" s="65"/>
      <c r="BG128" s="65"/>
      <c r="BH128" s="65"/>
      <c r="BI128" s="3"/>
      <c r="BJ128" s="3"/>
    </row>
    <row r="129" spans="1:62" s="67" customFormat="1" ht="32" outlineLevel="1" x14ac:dyDescent="0.2">
      <c r="A129" s="113">
        <v>56</v>
      </c>
      <c r="B129" s="246" t="s">
        <v>404</v>
      </c>
      <c r="C129" s="186" t="s">
        <v>405</v>
      </c>
      <c r="D129" s="247"/>
      <c r="E129" s="186" t="s">
        <v>406</v>
      </c>
      <c r="F129" s="170">
        <v>4</v>
      </c>
      <c r="G129" s="170" t="s">
        <v>407</v>
      </c>
      <c r="H129" s="170" t="s">
        <v>199</v>
      </c>
      <c r="I129" s="168" t="s">
        <v>200</v>
      </c>
      <c r="J129" s="147">
        <v>0</v>
      </c>
      <c r="K129" s="108">
        <v>200</v>
      </c>
      <c r="L129" s="180">
        <v>0</v>
      </c>
      <c r="M129" s="108"/>
      <c r="N129" s="108"/>
      <c r="O129" s="172">
        <f t="shared" si="78"/>
        <v>0</v>
      </c>
      <c r="P129" s="60"/>
      <c r="Q129" s="60"/>
      <c r="R129" s="60"/>
      <c r="S129" s="180">
        <v>200</v>
      </c>
      <c r="T129" s="60"/>
      <c r="U129" s="60"/>
      <c r="V129" s="60"/>
      <c r="W129" s="146">
        <f t="shared" si="75"/>
        <v>200</v>
      </c>
      <c r="X129" s="174">
        <f t="shared" si="76"/>
        <v>400</v>
      </c>
      <c r="Y129" s="175"/>
      <c r="Z129" s="175" t="s">
        <v>225</v>
      </c>
      <c r="AA129" s="175" t="s">
        <v>408</v>
      </c>
      <c r="AB129" s="64"/>
      <c r="AC129" s="63"/>
      <c r="AD129" s="248">
        <v>0</v>
      </c>
      <c r="AE129" s="248">
        <v>0</v>
      </c>
      <c r="AF129" s="248">
        <v>0</v>
      </c>
      <c r="AG129" s="180">
        <v>0</v>
      </c>
      <c r="AH129" s="180">
        <v>0</v>
      </c>
      <c r="AI129" s="180">
        <v>0</v>
      </c>
      <c r="AJ129" s="180" t="e">
        <f>'[1]FTV Vretgränd'!L8</f>
        <v>#REF!</v>
      </c>
      <c r="AK129" s="180" t="e">
        <f>'[1]FTV Vretgränd'!M8</f>
        <v>#REF!</v>
      </c>
      <c r="AL129" s="180" t="e">
        <f>'[1]FTV Vretgränd'!N8</f>
        <v>#REF!</v>
      </c>
      <c r="AM129" s="64"/>
      <c r="AN129" s="64"/>
      <c r="AO129" s="248">
        <v>0</v>
      </c>
      <c r="AP129" s="248">
        <v>0</v>
      </c>
      <c r="AQ129" s="248">
        <v>0</v>
      </c>
      <c r="AR129" s="180">
        <v>0</v>
      </c>
      <c r="AS129" s="180">
        <v>0</v>
      </c>
      <c r="AT129" s="180">
        <v>0</v>
      </c>
      <c r="AU129" s="180" t="e">
        <f>-'[1]FTV Vretgränd'!L22</f>
        <v>#REF!</v>
      </c>
      <c r="AV129" s="180" t="e">
        <f>-'[1]FTV Vretgränd'!M22</f>
        <v>#REF!</v>
      </c>
      <c r="AW129" s="180" t="e">
        <f>-'[1]FTV Vretgränd'!N22</f>
        <v>#REF!</v>
      </c>
      <c r="AX129" s="65"/>
      <c r="AY129" s="65"/>
      <c r="AZ129" s="65"/>
      <c r="BA129" s="65"/>
      <c r="BB129" s="65"/>
      <c r="BC129" s="65"/>
      <c r="BD129" s="65"/>
      <c r="BE129" s="65"/>
      <c r="BF129" s="65"/>
      <c r="BG129" s="65"/>
      <c r="BH129" s="65"/>
      <c r="BI129" s="3"/>
      <c r="BJ129" s="3"/>
    </row>
    <row r="130" spans="1:62" s="67" customFormat="1" ht="64" outlineLevel="1" x14ac:dyDescent="0.2">
      <c r="A130" s="113">
        <v>57</v>
      </c>
      <c r="B130" s="246" t="s">
        <v>404</v>
      </c>
      <c r="C130" s="186" t="s">
        <v>409</v>
      </c>
      <c r="D130" s="247"/>
      <c r="E130" s="186" t="s">
        <v>410</v>
      </c>
      <c r="F130" s="170">
        <v>3</v>
      </c>
      <c r="G130" s="170"/>
      <c r="H130" s="170" t="s">
        <v>199</v>
      </c>
      <c r="I130" s="168" t="s">
        <v>200</v>
      </c>
      <c r="J130" s="147">
        <v>0</v>
      </c>
      <c r="K130" s="108"/>
      <c r="L130" s="108"/>
      <c r="M130" s="180">
        <v>0</v>
      </c>
      <c r="N130" s="108"/>
      <c r="O130" s="172">
        <f t="shared" si="78"/>
        <v>0</v>
      </c>
      <c r="P130" s="60"/>
      <c r="Q130" s="60"/>
      <c r="R130" s="60"/>
      <c r="S130" s="180">
        <v>5000</v>
      </c>
      <c r="T130" s="60"/>
      <c r="U130" s="60"/>
      <c r="V130" s="60"/>
      <c r="W130" s="146">
        <f t="shared" si="75"/>
        <v>5000</v>
      </c>
      <c r="X130" s="174">
        <f t="shared" si="76"/>
        <v>5000</v>
      </c>
      <c r="Y130" s="175"/>
      <c r="Z130" s="175" t="s">
        <v>225</v>
      </c>
      <c r="AA130" s="175" t="s">
        <v>408</v>
      </c>
      <c r="AB130" s="64"/>
      <c r="AC130" s="63"/>
      <c r="AD130" s="63"/>
      <c r="AE130" s="248">
        <v>0</v>
      </c>
      <c r="AF130" s="248">
        <v>0</v>
      </c>
      <c r="AG130" s="248">
        <v>0</v>
      </c>
      <c r="AH130" s="248">
        <v>0</v>
      </c>
      <c r="AI130" s="248">
        <v>0</v>
      </c>
      <c r="AJ130" s="180" t="e">
        <f>'[1]Wik Black box'!L8</f>
        <v>#REF!</v>
      </c>
      <c r="AK130" s="180" t="e">
        <f>'[1]Wik Black box'!M8</f>
        <v>#REF!</v>
      </c>
      <c r="AL130" s="180" t="e">
        <f>'[1]Wik Black box'!N8</f>
        <v>#REF!</v>
      </c>
      <c r="AM130" s="64"/>
      <c r="AN130" s="64"/>
      <c r="AO130" s="64"/>
      <c r="AP130" s="248">
        <v>0</v>
      </c>
      <c r="AQ130" s="248">
        <v>0</v>
      </c>
      <c r="AR130" s="248">
        <v>0</v>
      </c>
      <c r="AS130" s="248">
        <v>0</v>
      </c>
      <c r="AT130" s="248">
        <v>0</v>
      </c>
      <c r="AU130" s="180" t="e">
        <f>-'[1]Wik Black box'!L22</f>
        <v>#REF!</v>
      </c>
      <c r="AV130" s="180" t="e">
        <f>-'[1]Wik Black box'!M22</f>
        <v>#REF!</v>
      </c>
      <c r="AW130" s="180" t="e">
        <f>-'[1]Wik Black box'!N22</f>
        <v>#REF!</v>
      </c>
      <c r="AX130" s="65"/>
      <c r="AY130" s="65"/>
      <c r="AZ130" s="65"/>
      <c r="BA130" s="65"/>
      <c r="BB130" s="65"/>
      <c r="BC130" s="65"/>
      <c r="BD130" s="65"/>
      <c r="BE130" s="65"/>
      <c r="BF130" s="65"/>
      <c r="BG130" s="65"/>
      <c r="BH130" s="65"/>
      <c r="BI130" s="3"/>
      <c r="BJ130" s="3"/>
    </row>
    <row r="131" spans="1:62" s="67" customFormat="1" ht="91.5" customHeight="1" outlineLevel="1" x14ac:dyDescent="0.2">
      <c r="A131" s="113">
        <v>58</v>
      </c>
      <c r="B131" s="246" t="s">
        <v>411</v>
      </c>
      <c r="C131" s="186" t="s">
        <v>412</v>
      </c>
      <c r="D131" s="247"/>
      <c r="E131" s="186" t="s">
        <v>413</v>
      </c>
      <c r="F131" s="170">
        <v>1</v>
      </c>
      <c r="G131" s="170"/>
      <c r="H131" s="170" t="s">
        <v>199</v>
      </c>
      <c r="I131" s="168" t="s">
        <v>200</v>
      </c>
      <c r="J131" s="147">
        <v>0</v>
      </c>
      <c r="K131" s="108">
        <v>1000</v>
      </c>
      <c r="L131" s="180">
        <v>0</v>
      </c>
      <c r="M131" s="180">
        <v>0</v>
      </c>
      <c r="N131" s="180">
        <v>0</v>
      </c>
      <c r="O131" s="172">
        <f t="shared" si="78"/>
        <v>0</v>
      </c>
      <c r="P131" s="180">
        <v>0</v>
      </c>
      <c r="Q131" s="108"/>
      <c r="R131" s="108"/>
      <c r="S131" s="180">
        <v>2000</v>
      </c>
      <c r="T131" s="180">
        <v>10000</v>
      </c>
      <c r="U131" s="180">
        <v>65000</v>
      </c>
      <c r="V131" s="180">
        <v>122000</v>
      </c>
      <c r="W131" s="146">
        <f t="shared" si="75"/>
        <v>199000</v>
      </c>
      <c r="X131" s="174">
        <f t="shared" si="76"/>
        <v>200000</v>
      </c>
      <c r="Y131" s="175"/>
      <c r="Z131" s="175" t="s">
        <v>215</v>
      </c>
      <c r="AA131" s="175" t="s">
        <v>414</v>
      </c>
      <c r="AB131" s="64"/>
      <c r="AC131" s="63"/>
      <c r="AD131" s="63"/>
      <c r="AE131" s="63"/>
      <c r="AF131" s="63"/>
      <c r="AG131" s="180">
        <v>0</v>
      </c>
      <c r="AH131" s="180">
        <v>0</v>
      </c>
      <c r="AI131" s="180">
        <v>0</v>
      </c>
      <c r="AJ131" s="180">
        <v>0</v>
      </c>
      <c r="AK131" s="180">
        <v>0</v>
      </c>
      <c r="AL131" s="180">
        <v>0</v>
      </c>
      <c r="AM131" s="64"/>
      <c r="AN131" s="64"/>
      <c r="AO131" s="64"/>
      <c r="AP131" s="64"/>
      <c r="AQ131" s="64"/>
      <c r="AR131" s="180">
        <v>0</v>
      </c>
      <c r="AS131" s="180">
        <v>0</v>
      </c>
      <c r="AT131" s="180">
        <v>0</v>
      </c>
      <c r="AU131" s="180">
        <v>0</v>
      </c>
      <c r="AV131" s="180">
        <v>0</v>
      </c>
      <c r="AW131" s="180">
        <v>0</v>
      </c>
      <c r="AX131" s="65"/>
      <c r="AY131" s="65"/>
      <c r="AZ131" s="65"/>
      <c r="BA131" s="65"/>
      <c r="BB131" s="65"/>
      <c r="BC131" s="65"/>
      <c r="BD131" s="65"/>
      <c r="BE131" s="65"/>
      <c r="BF131" s="65"/>
      <c r="BG131" s="65"/>
      <c r="BH131" s="65"/>
      <c r="BI131" s="3"/>
      <c r="BJ131" s="3"/>
    </row>
    <row r="132" spans="1:62" s="67" customFormat="1" ht="80" outlineLevel="1" x14ac:dyDescent="0.2">
      <c r="A132" s="113">
        <v>59</v>
      </c>
      <c r="B132" s="246" t="s">
        <v>411</v>
      </c>
      <c r="C132" s="186" t="s">
        <v>415</v>
      </c>
      <c r="D132" s="247"/>
      <c r="E132" s="186" t="s">
        <v>416</v>
      </c>
      <c r="F132" s="170">
        <v>1</v>
      </c>
      <c r="G132" s="170" t="s">
        <v>417</v>
      </c>
      <c r="H132" s="170" t="s">
        <v>199</v>
      </c>
      <c r="I132" s="168" t="s">
        <v>245</v>
      </c>
      <c r="J132" s="147">
        <v>300</v>
      </c>
      <c r="K132" s="108">
        <f>13500*25%</f>
        <v>3375</v>
      </c>
      <c r="L132" s="180">
        <v>0</v>
      </c>
      <c r="M132" s="108"/>
      <c r="N132" s="108"/>
      <c r="O132" s="172">
        <f t="shared" si="78"/>
        <v>0</v>
      </c>
      <c r="P132" s="108"/>
      <c r="Q132" s="108"/>
      <c r="R132" s="108"/>
      <c r="S132" s="180">
        <f>13500*75%</f>
        <v>10125</v>
      </c>
      <c r="T132" s="108"/>
      <c r="U132" s="108"/>
      <c r="V132" s="108"/>
      <c r="W132" s="146">
        <f t="shared" si="75"/>
        <v>10125</v>
      </c>
      <c r="X132" s="174">
        <f t="shared" si="76"/>
        <v>13500</v>
      </c>
      <c r="Y132" s="175"/>
      <c r="Z132" s="175" t="s">
        <v>215</v>
      </c>
      <c r="AA132" s="175" t="s">
        <v>414</v>
      </c>
      <c r="AB132" s="64"/>
      <c r="AC132" s="63"/>
      <c r="AD132" s="180">
        <v>0</v>
      </c>
      <c r="AE132" s="180">
        <v>0</v>
      </c>
      <c r="AF132" s="180">
        <v>0</v>
      </c>
      <c r="AG132" s="180">
        <v>0</v>
      </c>
      <c r="AH132" s="180">
        <v>0</v>
      </c>
      <c r="AI132" s="180">
        <v>0</v>
      </c>
      <c r="AJ132" s="180" t="e">
        <f>[1]Hälsoäventyret!L8</f>
        <v>#REF!</v>
      </c>
      <c r="AK132" s="180" t="e">
        <f>[1]Hälsoäventyret!M8</f>
        <v>#REF!</v>
      </c>
      <c r="AL132" s="180" t="e">
        <f>[1]Hälsoäventyret!N8</f>
        <v>#REF!</v>
      </c>
      <c r="AM132" s="63"/>
      <c r="AN132" s="64"/>
      <c r="AO132" s="180">
        <v>0</v>
      </c>
      <c r="AP132" s="180">
        <v>0</v>
      </c>
      <c r="AQ132" s="180">
        <v>0</v>
      </c>
      <c r="AR132" s="180">
        <v>0</v>
      </c>
      <c r="AS132" s="180">
        <v>0</v>
      </c>
      <c r="AT132" s="180">
        <v>0</v>
      </c>
      <c r="AU132" s="180" t="e">
        <f>-[1]Hälsoäventyret!L22</f>
        <v>#REF!</v>
      </c>
      <c r="AV132" s="180" t="e">
        <f>-[1]Hälsoäventyret!M22</f>
        <v>#REF!</v>
      </c>
      <c r="AW132" s="180" t="e">
        <f>-[1]Hälsoäventyret!N22</f>
        <v>#REF!</v>
      </c>
      <c r="AX132" s="65"/>
      <c r="AY132" s="65"/>
      <c r="AZ132" s="65"/>
      <c r="BA132" s="65"/>
      <c r="BB132" s="65"/>
      <c r="BC132" s="65"/>
      <c r="BD132" s="65"/>
      <c r="BE132" s="65"/>
      <c r="BF132" s="65"/>
      <c r="BG132" s="65"/>
      <c r="BH132" s="65"/>
      <c r="BI132" s="3"/>
      <c r="BJ132" s="3"/>
    </row>
    <row r="133" spans="1:62" s="67" customFormat="1" ht="80" outlineLevel="1" x14ac:dyDescent="0.2">
      <c r="A133" s="113">
        <v>60</v>
      </c>
      <c r="B133" s="191" t="s">
        <v>411</v>
      </c>
      <c r="C133" s="168" t="s">
        <v>418</v>
      </c>
      <c r="D133" s="226"/>
      <c r="E133" s="170" t="s">
        <v>419</v>
      </c>
      <c r="F133" s="170">
        <v>1</v>
      </c>
      <c r="G133" s="170" t="s">
        <v>417</v>
      </c>
      <c r="H133" s="170" t="s">
        <v>199</v>
      </c>
      <c r="I133" s="168" t="s">
        <v>200</v>
      </c>
      <c r="J133" s="147"/>
      <c r="K133" s="108">
        <v>500</v>
      </c>
      <c r="L133" s="108"/>
      <c r="M133" s="108"/>
      <c r="N133" s="108"/>
      <c r="O133" s="172">
        <f t="shared" si="78"/>
        <v>0</v>
      </c>
      <c r="P133" s="108"/>
      <c r="Q133" s="108"/>
      <c r="R133" s="108"/>
      <c r="S133" s="108"/>
      <c r="T133" s="108"/>
      <c r="U133" s="108"/>
      <c r="V133" s="108"/>
      <c r="W133" s="146">
        <f t="shared" si="75"/>
        <v>0</v>
      </c>
      <c r="X133" s="174">
        <f t="shared" si="76"/>
        <v>500</v>
      </c>
      <c r="Y133" s="175"/>
      <c r="Z133" s="175" t="s">
        <v>215</v>
      </c>
      <c r="AA133" s="175" t="s">
        <v>414</v>
      </c>
      <c r="AB133" s="64"/>
      <c r="AC133" s="63"/>
      <c r="AD133" s="63" t="e">
        <f>[1]Närvårdsavd!L8</f>
        <v>#REF!</v>
      </c>
      <c r="AE133" s="63" t="e">
        <f>[1]Närvårdsavd!M8</f>
        <v>#REF!</v>
      </c>
      <c r="AF133" s="63" t="e">
        <f>[1]Närvårdsavd!N8</f>
        <v>#REF!</v>
      </c>
      <c r="AG133" s="63" t="e">
        <f>[1]Närvårdsavd!O8</f>
        <v>#REF!</v>
      </c>
      <c r="AH133" s="63" t="e">
        <f>[1]Närvårdsavd!P8</f>
        <v>#REF!</v>
      </c>
      <c r="AI133" s="63" t="e">
        <f>[1]Närvårdsavd!Q8</f>
        <v>#REF!</v>
      </c>
      <c r="AJ133" s="63" t="e">
        <f>[1]Närvårdsavd!R8</f>
        <v>#REF!</v>
      </c>
      <c r="AK133" s="63" t="e">
        <f>[1]Närvårdsavd!S8</f>
        <v>#REF!</v>
      </c>
      <c r="AL133" s="63" t="e">
        <f>[1]Närvårdsavd!T8</f>
        <v>#REF!</v>
      </c>
      <c r="AM133" s="64"/>
      <c r="AN133" s="64"/>
      <c r="AO133" s="64" t="e">
        <f>-[1]Närvårdsavd!L22</f>
        <v>#REF!</v>
      </c>
      <c r="AP133" s="64" t="e">
        <f>-[1]Närvårdsavd!M22</f>
        <v>#REF!</v>
      </c>
      <c r="AQ133" s="64" t="e">
        <f>-[1]Närvårdsavd!N22</f>
        <v>#REF!</v>
      </c>
      <c r="AR133" s="64" t="e">
        <f>-[1]Närvårdsavd!O22</f>
        <v>#REF!</v>
      </c>
      <c r="AS133" s="64" t="e">
        <f>-[1]Närvårdsavd!P22</f>
        <v>#REF!</v>
      </c>
      <c r="AT133" s="64" t="e">
        <f>-[1]Närvårdsavd!Q22</f>
        <v>#REF!</v>
      </c>
      <c r="AU133" s="64" t="e">
        <f>-[1]Närvårdsavd!R22</f>
        <v>#REF!</v>
      </c>
      <c r="AV133" s="64" t="e">
        <f>-[1]Närvårdsavd!S22</f>
        <v>#REF!</v>
      </c>
      <c r="AW133" s="64" t="e">
        <f>-[1]Närvårdsavd!T22</f>
        <v>#REF!</v>
      </c>
      <c r="AX133" s="65"/>
      <c r="AY133" s="65"/>
      <c r="AZ133" s="65"/>
      <c r="BA133" s="65"/>
      <c r="BB133" s="65"/>
      <c r="BC133" s="65"/>
      <c r="BD133" s="65"/>
      <c r="BE133" s="65"/>
      <c r="BF133" s="65"/>
      <c r="BG133" s="65"/>
      <c r="BH133" s="65"/>
      <c r="BI133" s="3"/>
      <c r="BJ133" s="3"/>
    </row>
    <row r="134" spans="1:62" s="67" customFormat="1" ht="32" outlineLevel="1" x14ac:dyDescent="0.2">
      <c r="A134" s="113">
        <v>61</v>
      </c>
      <c r="B134" s="168" t="s">
        <v>398</v>
      </c>
      <c r="C134" s="168" t="s">
        <v>420</v>
      </c>
      <c r="D134" s="177">
        <v>8041390</v>
      </c>
      <c r="E134" s="168" t="s">
        <v>421</v>
      </c>
      <c r="F134" s="249" t="s">
        <v>422</v>
      </c>
      <c r="G134" s="170" t="s">
        <v>423</v>
      </c>
      <c r="H134" s="170" t="s">
        <v>199</v>
      </c>
      <c r="I134" s="168" t="s">
        <v>245</v>
      </c>
      <c r="J134" s="147">
        <v>350</v>
      </c>
      <c r="K134" s="108">
        <v>2000</v>
      </c>
      <c r="L134" s="108">
        <v>28000</v>
      </c>
      <c r="M134" s="108">
        <v>15000</v>
      </c>
      <c r="N134" s="108"/>
      <c r="O134" s="172">
        <f t="shared" si="78"/>
        <v>43000</v>
      </c>
      <c r="P134" s="60"/>
      <c r="Q134" s="60"/>
      <c r="R134" s="60"/>
      <c r="S134" s="60"/>
      <c r="T134" s="60"/>
      <c r="U134" s="60"/>
      <c r="V134" s="60"/>
      <c r="W134" s="146">
        <f t="shared" si="75"/>
        <v>43000</v>
      </c>
      <c r="X134" s="174">
        <f t="shared" si="76"/>
        <v>45000</v>
      </c>
      <c r="Y134" s="175"/>
      <c r="Z134" s="175" t="s">
        <v>225</v>
      </c>
      <c r="AA134" s="175" t="s">
        <v>424</v>
      </c>
      <c r="AB134" s="64"/>
      <c r="AC134" s="63"/>
      <c r="AD134" s="63"/>
      <c r="AE134" s="63" t="e">
        <f>'[1]Östervåla nybygg '!L8</f>
        <v>#REF!</v>
      </c>
      <c r="AF134" s="63" t="e">
        <f>'[1]Östervåla nybygg '!M8</f>
        <v>#REF!</v>
      </c>
      <c r="AG134" s="63" t="e">
        <f>'[1]Östervåla nybygg '!N8</f>
        <v>#REF!</v>
      </c>
      <c r="AH134" s="63" t="e">
        <f>'[1]Östervåla nybygg '!O8</f>
        <v>#REF!</v>
      </c>
      <c r="AI134" s="63" t="e">
        <f>'[1]Östervåla nybygg '!P8</f>
        <v>#REF!</v>
      </c>
      <c r="AJ134" s="63" t="e">
        <f>'[1]Östervåla nybygg '!Q8</f>
        <v>#REF!</v>
      </c>
      <c r="AK134" s="63" t="e">
        <f>'[1]Östervåla nybygg '!R8</f>
        <v>#REF!</v>
      </c>
      <c r="AL134" s="63" t="e">
        <f>'[1]Östervåla nybygg '!S8</f>
        <v>#REF!</v>
      </c>
      <c r="AM134" s="64"/>
      <c r="AN134" s="64"/>
      <c r="AO134" s="64"/>
      <c r="AP134" s="64" t="e">
        <f>-'[1]Östervåla nybygg '!L22</f>
        <v>#REF!</v>
      </c>
      <c r="AQ134" s="64" t="e">
        <f>-'[1]Östervåla nybygg '!M22</f>
        <v>#REF!</v>
      </c>
      <c r="AR134" s="64" t="e">
        <f>-'[1]Östervåla nybygg '!N22</f>
        <v>#REF!</v>
      </c>
      <c r="AS134" s="64" t="e">
        <f>-'[1]Östervåla nybygg '!O22</f>
        <v>#REF!</v>
      </c>
      <c r="AT134" s="64" t="e">
        <f>-'[1]Östervåla nybygg '!P22</f>
        <v>#REF!</v>
      </c>
      <c r="AU134" s="64" t="e">
        <f>-'[1]Östervåla nybygg '!Q22</f>
        <v>#REF!</v>
      </c>
      <c r="AV134" s="64" t="e">
        <f>-'[1]Östervåla nybygg '!R22</f>
        <v>#REF!</v>
      </c>
      <c r="AW134" s="64" t="e">
        <f>-'[1]Östervåla nybygg '!S22</f>
        <v>#REF!</v>
      </c>
      <c r="AX134" s="65"/>
      <c r="AY134" s="65"/>
      <c r="AZ134" s="65"/>
      <c r="BA134" s="65"/>
      <c r="BB134" s="65"/>
      <c r="BC134" s="65"/>
      <c r="BD134" s="65"/>
      <c r="BE134" s="65"/>
      <c r="BF134" s="65"/>
      <c r="BG134" s="65"/>
      <c r="BH134" s="65"/>
      <c r="BI134" s="3"/>
      <c r="BJ134" s="3"/>
    </row>
    <row r="135" spans="1:62" s="67" customFormat="1" ht="32" outlineLevel="1" x14ac:dyDescent="0.2">
      <c r="A135" s="113">
        <v>62</v>
      </c>
      <c r="B135" s="186" t="s">
        <v>425</v>
      </c>
      <c r="C135" s="186" t="s">
        <v>426</v>
      </c>
      <c r="D135" s="247" t="s">
        <v>312</v>
      </c>
      <c r="E135" s="186"/>
      <c r="F135" s="170">
        <v>2</v>
      </c>
      <c r="G135" s="170" t="s">
        <v>427</v>
      </c>
      <c r="H135" s="170" t="s">
        <v>199</v>
      </c>
      <c r="I135" s="170" t="s">
        <v>200</v>
      </c>
      <c r="J135" s="175">
        <v>0</v>
      </c>
      <c r="K135" s="60"/>
      <c r="L135" s="180">
        <v>0</v>
      </c>
      <c r="M135" s="108"/>
      <c r="N135" s="60"/>
      <c r="O135" s="172">
        <f t="shared" si="78"/>
        <v>0</v>
      </c>
      <c r="P135" s="250"/>
      <c r="Q135" s="250"/>
      <c r="R135" s="250"/>
      <c r="S135" s="180">
        <v>1500</v>
      </c>
      <c r="T135" s="250"/>
      <c r="U135" s="250"/>
      <c r="V135" s="250"/>
      <c r="W135" s="146">
        <f t="shared" si="75"/>
        <v>1500</v>
      </c>
      <c r="X135" s="174">
        <f t="shared" si="76"/>
        <v>1500</v>
      </c>
      <c r="Y135" s="60"/>
      <c r="Z135" s="175" t="s">
        <v>215</v>
      </c>
      <c r="AA135" s="175" t="s">
        <v>428</v>
      </c>
      <c r="AB135" s="64"/>
      <c r="AC135" s="63"/>
      <c r="AD135" s="180">
        <v>0</v>
      </c>
      <c r="AE135" s="180">
        <v>0</v>
      </c>
      <c r="AF135" s="180">
        <v>0</v>
      </c>
      <c r="AG135" s="180">
        <v>0</v>
      </c>
      <c r="AH135" s="180">
        <v>0</v>
      </c>
      <c r="AI135" s="180">
        <v>0</v>
      </c>
      <c r="AJ135" s="180" t="e">
        <f>'[1]Wik Black box'!L8</f>
        <v>#REF!</v>
      </c>
      <c r="AK135" s="180" t="e">
        <f>'[1]Wik Black box'!M8</f>
        <v>#REF!</v>
      </c>
      <c r="AL135" s="180" t="e">
        <f>'[1]Wik Black box'!N8</f>
        <v>#REF!</v>
      </c>
      <c r="AM135" s="64"/>
      <c r="AN135" s="64"/>
      <c r="AO135" s="248">
        <v>0</v>
      </c>
      <c r="AP135" s="248">
        <v>0</v>
      </c>
      <c r="AQ135" s="248">
        <v>0</v>
      </c>
      <c r="AR135" s="180">
        <v>0</v>
      </c>
      <c r="AS135" s="180">
        <v>0</v>
      </c>
      <c r="AT135" s="180">
        <v>0</v>
      </c>
      <c r="AU135" s="180" t="e">
        <f>-'[1]Wik Black box'!L22</f>
        <v>#REF!</v>
      </c>
      <c r="AV135" s="180" t="e">
        <f>-'[1]Wik Black box'!M22</f>
        <v>#REF!</v>
      </c>
      <c r="AW135" s="180" t="e">
        <f>-'[1]Wik Black box'!N22</f>
        <v>#REF!</v>
      </c>
      <c r="AX135" s="65"/>
      <c r="AY135" s="65"/>
      <c r="AZ135" s="65"/>
      <c r="BA135" s="65"/>
      <c r="BB135" s="65"/>
      <c r="BC135" s="65"/>
      <c r="BD135" s="65"/>
      <c r="BE135" s="65"/>
      <c r="BF135" s="65"/>
      <c r="BG135" s="65"/>
      <c r="BH135" s="65"/>
      <c r="BI135" s="3"/>
      <c r="BJ135" s="3"/>
    </row>
    <row r="136" spans="1:62" s="67" customFormat="1" ht="48" outlineLevel="1" x14ac:dyDescent="0.2">
      <c r="A136" s="113">
        <v>63</v>
      </c>
      <c r="B136" s="186" t="s">
        <v>425</v>
      </c>
      <c r="C136" s="168" t="s">
        <v>429</v>
      </c>
      <c r="D136" s="226" t="s">
        <v>312</v>
      </c>
      <c r="E136" s="170" t="s">
        <v>430</v>
      </c>
      <c r="F136" s="170">
        <v>1</v>
      </c>
      <c r="G136" s="170" t="s">
        <v>427</v>
      </c>
      <c r="H136" s="170"/>
      <c r="I136" s="170" t="s">
        <v>200</v>
      </c>
      <c r="J136" s="175">
        <v>0</v>
      </c>
      <c r="K136" s="60"/>
      <c r="L136" s="180">
        <v>0</v>
      </c>
      <c r="M136" s="108"/>
      <c r="N136" s="60"/>
      <c r="O136" s="172">
        <f t="shared" si="78"/>
        <v>0</v>
      </c>
      <c r="P136" s="250"/>
      <c r="Q136" s="250"/>
      <c r="R136" s="250"/>
      <c r="S136" s="180">
        <v>5000</v>
      </c>
      <c r="T136" s="250"/>
      <c r="U136" s="250"/>
      <c r="V136" s="250"/>
      <c r="W136" s="146">
        <f t="shared" si="75"/>
        <v>5000</v>
      </c>
      <c r="X136" s="174">
        <f t="shared" si="76"/>
        <v>5000</v>
      </c>
      <c r="Y136" s="60"/>
      <c r="Z136" s="60" t="s">
        <v>225</v>
      </c>
      <c r="AA136" s="175" t="s">
        <v>431</v>
      </c>
      <c r="AB136" s="64"/>
      <c r="AC136" s="63"/>
      <c r="AD136" s="171"/>
      <c r="AE136" s="171"/>
      <c r="AF136" s="171"/>
      <c r="AG136" s="171"/>
      <c r="AH136" s="171"/>
      <c r="AI136" s="171"/>
      <c r="AJ136" s="171"/>
      <c r="AK136" s="171"/>
      <c r="AL136" s="171"/>
      <c r="AM136" s="64"/>
      <c r="AN136" s="64"/>
      <c r="AO136" s="171"/>
      <c r="AP136" s="171"/>
      <c r="AQ136" s="171"/>
      <c r="AR136" s="171"/>
      <c r="AS136" s="171"/>
      <c r="AT136" s="171"/>
      <c r="AU136" s="171"/>
      <c r="AV136" s="171"/>
      <c r="AW136" s="171"/>
      <c r="AX136" s="65"/>
      <c r="AY136" s="65"/>
      <c r="AZ136" s="65"/>
      <c r="BA136" s="65"/>
      <c r="BB136" s="65"/>
      <c r="BC136" s="65"/>
      <c r="BD136" s="65"/>
      <c r="BE136" s="65"/>
      <c r="BF136" s="65"/>
      <c r="BG136" s="65"/>
      <c r="BH136" s="65"/>
      <c r="BI136" s="3"/>
      <c r="BJ136" s="3"/>
    </row>
    <row r="137" spans="1:62" s="67" customFormat="1" ht="32" outlineLevel="1" x14ac:dyDescent="0.2">
      <c r="A137" s="113">
        <v>64</v>
      </c>
      <c r="B137" s="168" t="s">
        <v>170</v>
      </c>
      <c r="C137" s="168" t="s">
        <v>432</v>
      </c>
      <c r="D137" s="177">
        <v>8040137</v>
      </c>
      <c r="E137" s="168" t="s">
        <v>433</v>
      </c>
      <c r="F137" s="168">
        <v>0</v>
      </c>
      <c r="G137" s="170" t="s">
        <v>434</v>
      </c>
      <c r="H137" s="170" t="s">
        <v>199</v>
      </c>
      <c r="I137" s="168" t="s">
        <v>102</v>
      </c>
      <c r="J137" s="147">
        <v>1385</v>
      </c>
      <c r="K137" s="108">
        <f>826+1815</f>
        <v>2641</v>
      </c>
      <c r="L137" s="108">
        <v>10000</v>
      </c>
      <c r="M137" s="108">
        <v>15000</v>
      </c>
      <c r="N137" s="108">
        <v>14349</v>
      </c>
      <c r="O137" s="172">
        <f>L137+M137+N137</f>
        <v>39349</v>
      </c>
      <c r="P137" s="250"/>
      <c r="Q137" s="250"/>
      <c r="R137" s="250"/>
      <c r="S137" s="250"/>
      <c r="T137" s="250"/>
      <c r="U137" s="250"/>
      <c r="V137" s="250"/>
      <c r="W137" s="146">
        <f>O137+P137+Q137+R137+S137+T137+U137+V137</f>
        <v>39349</v>
      </c>
      <c r="X137" s="174">
        <f t="shared" si="76"/>
        <v>41990</v>
      </c>
      <c r="Y137" s="60"/>
      <c r="Z137" s="60" t="s">
        <v>225</v>
      </c>
      <c r="AA137" s="175" t="s">
        <v>435</v>
      </c>
      <c r="AB137" s="64"/>
      <c r="AC137" s="63"/>
      <c r="AD137" s="63"/>
      <c r="AE137" s="63"/>
      <c r="AF137" s="63" t="e">
        <f>'[1]Almunge nybygg'!L8</f>
        <v>#REF!</v>
      </c>
      <c r="AG137" s="63" t="e">
        <f>'[1]Almunge nybygg'!M8</f>
        <v>#REF!</v>
      </c>
      <c r="AH137" s="63" t="e">
        <f>'[1]Almunge nybygg'!N8</f>
        <v>#REF!</v>
      </c>
      <c r="AI137" s="63" t="e">
        <f>'[1]Almunge nybygg'!O8</f>
        <v>#REF!</v>
      </c>
      <c r="AJ137" s="63" t="e">
        <f>'[1]Almunge nybygg'!P8</f>
        <v>#REF!</v>
      </c>
      <c r="AK137" s="63" t="e">
        <f>'[1]Almunge nybygg'!Q8</f>
        <v>#REF!</v>
      </c>
      <c r="AL137" s="63" t="e">
        <f>'[1]Almunge nybygg'!R8</f>
        <v>#REF!</v>
      </c>
      <c r="AM137" s="64"/>
      <c r="AN137" s="64"/>
      <c r="AO137" s="64"/>
      <c r="AP137" s="64"/>
      <c r="AQ137" s="64" t="e">
        <f>-'[1]Almunge nybygg'!L22</f>
        <v>#REF!</v>
      </c>
      <c r="AR137" s="64" t="e">
        <f>-'[1]Almunge nybygg'!M22</f>
        <v>#REF!</v>
      </c>
      <c r="AS137" s="64" t="e">
        <f>-'[1]Almunge nybygg'!N22</f>
        <v>#REF!</v>
      </c>
      <c r="AT137" s="64" t="e">
        <f>-'[1]Almunge nybygg'!O22</f>
        <v>#REF!</v>
      </c>
      <c r="AU137" s="64" t="e">
        <f>-'[1]Almunge nybygg'!P22</f>
        <v>#REF!</v>
      </c>
      <c r="AV137" s="64" t="e">
        <f>-'[1]Almunge nybygg'!Q22</f>
        <v>#REF!</v>
      </c>
      <c r="AW137" s="64" t="e">
        <f>-'[1]Almunge nybygg'!R22</f>
        <v>#REF!</v>
      </c>
      <c r="AX137" s="65"/>
      <c r="AY137" s="65"/>
      <c r="AZ137" s="65"/>
      <c r="BA137" s="65"/>
      <c r="BB137" s="65"/>
      <c r="BC137" s="65"/>
      <c r="BD137" s="65"/>
      <c r="BE137" s="65"/>
      <c r="BF137" s="65"/>
      <c r="BG137" s="65"/>
      <c r="BH137" s="65"/>
      <c r="BI137" s="3"/>
      <c r="BJ137" s="3"/>
    </row>
    <row r="138" spans="1:62" s="102" customFormat="1" ht="16" x14ac:dyDescent="0.2">
      <c r="A138" s="113"/>
      <c r="B138" s="233" t="s">
        <v>194</v>
      </c>
      <c r="C138" s="234" t="s">
        <v>436</v>
      </c>
      <c r="D138" s="235"/>
      <c r="E138" s="236"/>
      <c r="F138" s="236"/>
      <c r="G138" s="236"/>
      <c r="H138" s="236"/>
      <c r="I138" s="236"/>
      <c r="J138" s="239">
        <f t="shared" ref="J138:W138" si="79">SUM(J117:J137)-J117</f>
        <v>2035</v>
      </c>
      <c r="K138" s="239">
        <f>SUM(K117:K137)-K117</f>
        <v>9716</v>
      </c>
      <c r="L138" s="239">
        <f>SUM(L117:L137)-L117</f>
        <v>46000</v>
      </c>
      <c r="M138" s="239">
        <f t="shared" si="79"/>
        <v>37000</v>
      </c>
      <c r="N138" s="239">
        <f t="shared" si="79"/>
        <v>14349</v>
      </c>
      <c r="O138" s="239">
        <f t="shared" si="79"/>
        <v>97349</v>
      </c>
      <c r="P138" s="239">
        <f t="shared" si="79"/>
        <v>0</v>
      </c>
      <c r="Q138" s="239">
        <f t="shared" si="79"/>
        <v>0</v>
      </c>
      <c r="R138" s="239">
        <f t="shared" si="79"/>
        <v>0</v>
      </c>
      <c r="S138" s="239">
        <f t="shared" si="79"/>
        <v>152325</v>
      </c>
      <c r="T138" s="239">
        <f t="shared" si="79"/>
        <v>122500</v>
      </c>
      <c r="U138" s="239">
        <f t="shared" si="79"/>
        <v>65000</v>
      </c>
      <c r="V138" s="239">
        <f t="shared" si="79"/>
        <v>122000</v>
      </c>
      <c r="W138" s="239">
        <f t="shared" si="79"/>
        <v>559174</v>
      </c>
      <c r="X138" s="239">
        <f>SUM(X117:X137)-X117</f>
        <v>568890</v>
      </c>
      <c r="Y138" s="239"/>
      <c r="Z138" s="239"/>
      <c r="AA138" s="239"/>
      <c r="AB138" s="239">
        <f t="shared" ref="AB138:AD138" si="80">SUM(AB117:AB137)</f>
        <v>0</v>
      </c>
      <c r="AC138" s="239">
        <f t="shared" si="80"/>
        <v>0</v>
      </c>
      <c r="AD138" s="239" t="e">
        <f t="shared" si="80"/>
        <v>#REF!</v>
      </c>
      <c r="AE138" s="239" t="e">
        <f>SUM(AE118:AE137)</f>
        <v>#REF!</v>
      </c>
      <c r="AF138" s="239" t="e">
        <f t="shared" ref="AF138:BH138" si="81">SUM(AF118:AF137)</f>
        <v>#REF!</v>
      </c>
      <c r="AG138" s="239" t="e">
        <f t="shared" si="81"/>
        <v>#REF!</v>
      </c>
      <c r="AH138" s="239" t="e">
        <f t="shared" si="81"/>
        <v>#REF!</v>
      </c>
      <c r="AI138" s="239" t="e">
        <f t="shared" si="81"/>
        <v>#REF!</v>
      </c>
      <c r="AJ138" s="239" t="e">
        <f t="shared" si="81"/>
        <v>#REF!</v>
      </c>
      <c r="AK138" s="239" t="e">
        <f t="shared" si="81"/>
        <v>#REF!</v>
      </c>
      <c r="AL138" s="239" t="e">
        <f t="shared" si="81"/>
        <v>#REF!</v>
      </c>
      <c r="AM138" s="239">
        <f t="shared" si="81"/>
        <v>0</v>
      </c>
      <c r="AN138" s="239">
        <f t="shared" si="81"/>
        <v>0</v>
      </c>
      <c r="AO138" s="239" t="e">
        <f t="shared" si="81"/>
        <v>#REF!</v>
      </c>
      <c r="AP138" s="239" t="e">
        <f t="shared" si="81"/>
        <v>#REF!</v>
      </c>
      <c r="AQ138" s="239" t="e">
        <f t="shared" si="81"/>
        <v>#REF!</v>
      </c>
      <c r="AR138" s="239" t="e">
        <f t="shared" si="81"/>
        <v>#REF!</v>
      </c>
      <c r="AS138" s="239" t="e">
        <f t="shared" si="81"/>
        <v>#REF!</v>
      </c>
      <c r="AT138" s="239" t="e">
        <f t="shared" si="81"/>
        <v>#REF!</v>
      </c>
      <c r="AU138" s="239" t="e">
        <f t="shared" si="81"/>
        <v>#REF!</v>
      </c>
      <c r="AV138" s="239" t="e">
        <f t="shared" si="81"/>
        <v>#REF!</v>
      </c>
      <c r="AW138" s="239" t="e">
        <f t="shared" si="81"/>
        <v>#REF!</v>
      </c>
      <c r="AX138" s="239">
        <f t="shared" si="81"/>
        <v>0</v>
      </c>
      <c r="AY138" s="239">
        <f t="shared" si="81"/>
        <v>0</v>
      </c>
      <c r="AZ138" s="239">
        <f t="shared" si="81"/>
        <v>0</v>
      </c>
      <c r="BA138" s="239">
        <f t="shared" si="81"/>
        <v>0</v>
      </c>
      <c r="BB138" s="239">
        <f t="shared" si="81"/>
        <v>0</v>
      </c>
      <c r="BC138" s="239">
        <f t="shared" si="81"/>
        <v>0</v>
      </c>
      <c r="BD138" s="239">
        <f t="shared" si="81"/>
        <v>0</v>
      </c>
      <c r="BE138" s="239">
        <f t="shared" si="81"/>
        <v>0</v>
      </c>
      <c r="BF138" s="239">
        <f t="shared" si="81"/>
        <v>0</v>
      </c>
      <c r="BG138" s="239">
        <f t="shared" si="81"/>
        <v>0</v>
      </c>
      <c r="BH138" s="239">
        <f t="shared" si="81"/>
        <v>0</v>
      </c>
      <c r="BI138" s="4"/>
      <c r="BJ138" s="4"/>
    </row>
    <row r="139" spans="1:62" s="102" customFormat="1" ht="16" x14ac:dyDescent="0.2">
      <c r="A139" s="113"/>
      <c r="B139" s="251" t="s">
        <v>194</v>
      </c>
      <c r="C139" s="252"/>
      <c r="D139" s="216"/>
      <c r="E139" s="170"/>
      <c r="F139" s="170"/>
      <c r="G139" s="170"/>
      <c r="H139" s="170"/>
      <c r="I139" s="170"/>
      <c r="J139" s="218"/>
      <c r="K139" s="60"/>
      <c r="L139" s="60"/>
      <c r="M139" s="60"/>
      <c r="N139" s="60"/>
      <c r="O139" s="172"/>
      <c r="P139" s="60"/>
      <c r="Q139" s="60"/>
      <c r="R139" s="60"/>
      <c r="S139" s="60"/>
      <c r="T139" s="60"/>
      <c r="U139" s="60"/>
      <c r="V139" s="60"/>
      <c r="W139" s="172"/>
      <c r="X139" s="174"/>
      <c r="Y139" s="97"/>
      <c r="Z139" s="97"/>
      <c r="AA139" s="97"/>
      <c r="AB139" s="108"/>
      <c r="AC139" s="98"/>
      <c r="AD139" s="98"/>
      <c r="AE139" s="98"/>
      <c r="AF139" s="98"/>
      <c r="AG139" s="98"/>
      <c r="AH139" s="98"/>
      <c r="AI139" s="98"/>
      <c r="AJ139" s="98"/>
      <c r="AK139" s="98"/>
      <c r="AL139" s="98"/>
      <c r="AM139" s="108"/>
      <c r="AN139" s="108"/>
      <c r="AO139" s="108"/>
      <c r="AP139" s="108"/>
      <c r="AQ139" s="108"/>
      <c r="AR139" s="108"/>
      <c r="AS139" s="108"/>
      <c r="AT139" s="108"/>
      <c r="AU139" s="108"/>
      <c r="AV139" s="108"/>
      <c r="AW139" s="108"/>
      <c r="AX139" s="98"/>
      <c r="AY139" s="98"/>
      <c r="AZ139" s="98"/>
      <c r="BA139" s="98"/>
      <c r="BB139" s="98"/>
      <c r="BC139" s="98"/>
      <c r="BD139" s="98"/>
      <c r="BE139" s="98"/>
      <c r="BF139" s="98"/>
      <c r="BG139" s="98"/>
      <c r="BH139" s="98"/>
      <c r="BI139" s="4"/>
      <c r="BJ139" s="4"/>
    </row>
    <row r="140" spans="1:62" s="257" customFormat="1" ht="16" x14ac:dyDescent="0.2">
      <c r="A140" s="212"/>
      <c r="B140" s="253" t="s">
        <v>194</v>
      </c>
      <c r="C140" s="254" t="s">
        <v>437</v>
      </c>
      <c r="D140" s="255"/>
      <c r="E140" s="227"/>
      <c r="F140" s="227"/>
      <c r="G140" s="227"/>
      <c r="H140" s="254"/>
      <c r="I140" s="254"/>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256"/>
      <c r="BJ140" s="256"/>
    </row>
    <row r="142" spans="1:62" s="102" customFormat="1" ht="32" outlineLevel="1" x14ac:dyDescent="0.2">
      <c r="A142" s="113">
        <v>65</v>
      </c>
      <c r="B142" s="168" t="s">
        <v>438</v>
      </c>
      <c r="C142" s="168" t="s">
        <v>439</v>
      </c>
      <c r="D142" s="258"/>
      <c r="E142" s="168" t="s">
        <v>440</v>
      </c>
      <c r="F142" s="168">
        <v>1</v>
      </c>
      <c r="G142" s="168"/>
      <c r="H142" s="170" t="s">
        <v>157</v>
      </c>
      <c r="I142" s="168" t="s">
        <v>200</v>
      </c>
      <c r="J142" s="147">
        <v>0</v>
      </c>
      <c r="K142" s="108">
        <v>2000</v>
      </c>
      <c r="L142" s="108">
        <v>22000</v>
      </c>
      <c r="M142" s="108">
        <v>27000</v>
      </c>
      <c r="N142" s="108">
        <v>8000</v>
      </c>
      <c r="O142" s="172">
        <f t="shared" ref="O142:O156" si="82">L142+M142+N142</f>
        <v>57000</v>
      </c>
      <c r="P142" s="108"/>
      <c r="Q142" s="108"/>
      <c r="R142" s="108"/>
      <c r="S142" s="108"/>
      <c r="T142" s="108"/>
      <c r="U142" s="108"/>
      <c r="V142" s="108"/>
      <c r="W142" s="146">
        <f>O142+P142+Q142+R142+S142+T142+U142+V142</f>
        <v>57000</v>
      </c>
      <c r="X142" s="174">
        <f t="shared" ref="X142:X155" si="83">K142+L142+M142+N142+P142+Q142+R142+S142+T142+U142+V142</f>
        <v>59000</v>
      </c>
      <c r="Y142" s="175"/>
      <c r="Z142" s="175" t="s">
        <v>441</v>
      </c>
      <c r="AA142" s="175" t="s">
        <v>442</v>
      </c>
      <c r="AB142" s="64"/>
      <c r="AC142" s="99"/>
      <c r="AD142" s="99"/>
      <c r="AE142" s="99"/>
      <c r="AF142" s="99"/>
      <c r="AG142" s="99"/>
      <c r="AH142" s="99"/>
      <c r="AI142" s="99"/>
      <c r="AJ142" s="99"/>
      <c r="AK142" s="99"/>
      <c r="AL142" s="99"/>
      <c r="AM142" s="64"/>
      <c r="AN142" s="64"/>
      <c r="AO142" s="64" t="e">
        <f>-'[1]FI åtg B9 etapp 1 '!L22/12*6</f>
        <v>#REF!</v>
      </c>
      <c r="AP142" s="64" t="e">
        <f>-'[1]FI åtg B9 etapp 1 '!M22</f>
        <v>#REF!</v>
      </c>
      <c r="AQ142" s="64" t="e">
        <f>-'[1]FI åtg B9 etapp 1 '!N22-(('[1]FI åtg B9 etapp 2'!L22)/12*6)</f>
        <v>#REF!</v>
      </c>
      <c r="AR142" s="64" t="e">
        <f>-'[1]FI åtg B9 etapp 1 '!O22-'[1]FI åtg B9 etapp 2'!M22</f>
        <v>#REF!</v>
      </c>
      <c r="AS142" s="64" t="e">
        <f>-'[1]FI åtg B9 etapp 1 '!P22-'[1]FI åtg B9 etapp 2'!N22</f>
        <v>#REF!</v>
      </c>
      <c r="AT142" s="64" t="e">
        <f>-'[1]FI åtg B9 etapp 1 '!Q22-'[1]FI åtg B9 etapp 2'!O22</f>
        <v>#REF!</v>
      </c>
      <c r="AU142" s="64" t="e">
        <f>-'[1]FI åtg B9 etapp 1 '!R22-'[1]FI åtg B9 etapp 2'!P22</f>
        <v>#REF!</v>
      </c>
      <c r="AV142" s="64" t="e">
        <f>-'[1]FI åtg B9 etapp 1 '!S22-'[1]FI åtg B9 etapp 2'!Q22</f>
        <v>#REF!</v>
      </c>
      <c r="AW142" s="64" t="e">
        <f>-'[1]FI åtg B9 etapp 1 '!T22-'[1]FI åtg B9 etapp 2'!R22</f>
        <v>#REF!</v>
      </c>
      <c r="AX142" s="65"/>
      <c r="AY142" s="65"/>
      <c r="AZ142" s="65"/>
      <c r="BA142" s="65"/>
      <c r="BB142" s="65"/>
      <c r="BC142" s="65"/>
      <c r="BD142" s="65"/>
      <c r="BE142" s="65"/>
      <c r="BF142" s="65"/>
      <c r="BG142" s="65"/>
      <c r="BH142" s="65"/>
      <c r="BI142" s="4"/>
      <c r="BJ142" s="4"/>
    </row>
    <row r="143" spans="1:62" s="102" customFormat="1" ht="32" outlineLevel="1" x14ac:dyDescent="0.2">
      <c r="A143" s="113">
        <v>66</v>
      </c>
      <c r="B143" s="168" t="s">
        <v>438</v>
      </c>
      <c r="C143" s="168" t="s">
        <v>443</v>
      </c>
      <c r="D143" s="258"/>
      <c r="E143" s="168" t="s">
        <v>440</v>
      </c>
      <c r="F143" s="168">
        <v>1</v>
      </c>
      <c r="G143" s="168"/>
      <c r="H143" s="170" t="s">
        <v>157</v>
      </c>
      <c r="I143" s="168" t="s">
        <v>200</v>
      </c>
      <c r="J143" s="147">
        <v>0</v>
      </c>
      <c r="K143" s="108">
        <v>2000</v>
      </c>
      <c r="L143" s="108">
        <v>9000</v>
      </c>
      <c r="M143" s="108">
        <v>4000</v>
      </c>
      <c r="N143" s="108">
        <v>4000</v>
      </c>
      <c r="O143" s="172">
        <f t="shared" si="82"/>
        <v>17000</v>
      </c>
      <c r="P143" s="108"/>
      <c r="Q143" s="108"/>
      <c r="R143" s="108"/>
      <c r="S143" s="108"/>
      <c r="T143" s="108"/>
      <c r="U143" s="108"/>
      <c r="V143" s="108"/>
      <c r="W143" s="146">
        <f t="shared" ref="W143:W156" si="84">O143+P143+Q143+R143+S143+T143+U143+V143</f>
        <v>17000</v>
      </c>
      <c r="X143" s="174">
        <f t="shared" si="83"/>
        <v>19000</v>
      </c>
      <c r="Y143" s="175"/>
      <c r="Z143" s="175" t="s">
        <v>441</v>
      </c>
      <c r="AA143" s="175" t="s">
        <v>442</v>
      </c>
      <c r="AB143" s="64"/>
      <c r="AC143" s="99"/>
      <c r="AD143" s="99"/>
      <c r="AE143" s="99"/>
      <c r="AF143" s="99"/>
      <c r="AG143" s="99"/>
      <c r="AH143" s="99"/>
      <c r="AI143" s="99"/>
      <c r="AJ143" s="99"/>
      <c r="AK143" s="99"/>
      <c r="AL143" s="99"/>
      <c r="AM143" s="64"/>
      <c r="AN143" s="64"/>
      <c r="AO143" s="64" t="e">
        <f>-'[1]FI åtg B12 etapp 1'!L22/12*6</f>
        <v>#REF!</v>
      </c>
      <c r="AP143" s="64" t="e">
        <f>-'[1]FI åtg B12 etapp 1'!M22</f>
        <v>#REF!</v>
      </c>
      <c r="AQ143" s="64" t="e">
        <f>-'[1]FI åtg B12 etapp 1'!N22-(('[1]FI åtg B12 etapp 2'!L22)/12*6)</f>
        <v>#REF!</v>
      </c>
      <c r="AR143" s="64" t="e">
        <f>-'[1]FI åtg B12 etapp 1'!O22-'[1]FI åtg B12 etapp 2'!M22</f>
        <v>#REF!</v>
      </c>
      <c r="AS143" s="64" t="e">
        <f>-'[1]FI åtg B12 etapp 1'!P22-'[1]FI åtg B12 etapp 2'!N22</f>
        <v>#REF!</v>
      </c>
      <c r="AT143" s="64" t="e">
        <f>-'[1]FI åtg B12 etapp 1'!Q22-'[1]FI åtg B12 etapp 2'!O22</f>
        <v>#REF!</v>
      </c>
      <c r="AU143" s="64" t="e">
        <f>-'[1]FI åtg B12 etapp 1'!R22-'[1]FI åtg B12 etapp 2'!P22</f>
        <v>#REF!</v>
      </c>
      <c r="AV143" s="64" t="e">
        <f>-'[1]FI åtg B12 etapp 1'!S22-'[1]FI åtg B12 etapp 2'!Q22</f>
        <v>#REF!</v>
      </c>
      <c r="AW143" s="64" t="e">
        <f>-'[1]FI åtg B12 etapp 1'!T22-'[1]FI åtg B12 etapp 2'!R22</f>
        <v>#REF!</v>
      </c>
      <c r="AX143" s="65"/>
      <c r="AY143" s="65"/>
      <c r="AZ143" s="65"/>
      <c r="BA143" s="65"/>
      <c r="BB143" s="65"/>
      <c r="BC143" s="65"/>
      <c r="BD143" s="65"/>
      <c r="BE143" s="65"/>
      <c r="BF143" s="65"/>
      <c r="BG143" s="65"/>
      <c r="BH143" s="65"/>
      <c r="BI143" s="4"/>
      <c r="BJ143" s="4"/>
    </row>
    <row r="144" spans="1:62" s="102" customFormat="1" ht="32" outlineLevel="1" x14ac:dyDescent="0.2">
      <c r="A144" s="113">
        <v>67</v>
      </c>
      <c r="B144" s="246" t="s">
        <v>438</v>
      </c>
      <c r="C144" s="186" t="s">
        <v>444</v>
      </c>
      <c r="D144" s="187" t="s">
        <v>312</v>
      </c>
      <c r="E144" s="186"/>
      <c r="F144" s="168">
        <v>3</v>
      </c>
      <c r="G144" s="168"/>
      <c r="H144" s="170" t="s">
        <v>157</v>
      </c>
      <c r="I144" s="168" t="s">
        <v>200</v>
      </c>
      <c r="J144" s="147">
        <v>0</v>
      </c>
      <c r="K144" s="108"/>
      <c r="L144" s="108"/>
      <c r="M144" s="259">
        <f>40000-20000-5000</f>
        <v>15000</v>
      </c>
      <c r="N144" s="259">
        <f>40000-20000-5000</f>
        <v>15000</v>
      </c>
      <c r="O144" s="172">
        <f t="shared" si="82"/>
        <v>30000</v>
      </c>
      <c r="P144" s="259">
        <f>40000-5000</f>
        <v>35000</v>
      </c>
      <c r="Q144" s="259">
        <f t="shared" ref="Q144:R144" si="85">40000-5000</f>
        <v>35000</v>
      </c>
      <c r="R144" s="259">
        <f t="shared" si="85"/>
        <v>35000</v>
      </c>
      <c r="S144" s="97"/>
      <c r="T144" s="97"/>
      <c r="U144" s="97"/>
      <c r="V144" s="97"/>
      <c r="W144" s="173">
        <f t="shared" si="84"/>
        <v>135000</v>
      </c>
      <c r="X144" s="174">
        <f t="shared" si="83"/>
        <v>135000</v>
      </c>
      <c r="Y144" s="175"/>
      <c r="Z144" s="175" t="s">
        <v>441</v>
      </c>
      <c r="AA144" s="175" t="s">
        <v>442</v>
      </c>
      <c r="AB144" s="64"/>
      <c r="AC144" s="99"/>
      <c r="AD144" s="99"/>
      <c r="AE144" s="99"/>
      <c r="AF144" s="99"/>
      <c r="AG144" s="99"/>
      <c r="AH144" s="99"/>
      <c r="AI144" s="99"/>
      <c r="AJ144" s="99"/>
      <c r="AK144" s="99"/>
      <c r="AL144" s="99"/>
      <c r="AM144" s="64"/>
      <c r="AN144" s="64"/>
      <c r="AO144" s="64"/>
      <c r="AP144" s="171" t="e">
        <f>-'[1]Nya Energiåtg etapp 1'!L22/12*6</f>
        <v>#REF!</v>
      </c>
      <c r="AQ144" s="171" t="e">
        <f>-'[1]Nya Energiåtg etapp 1'!M22-'[1]Nya Energiåtg etapp 2'!L22/12*6</f>
        <v>#REF!</v>
      </c>
      <c r="AR144" s="171" t="e">
        <f>-'[1]Nya Energiåtg etapp 1'!N22-'[1]Nya Energiåtg etapp 2'!M22-'[1]Nya Energiåtg etapp 3'!L22/12*6</f>
        <v>#REF!</v>
      </c>
      <c r="AS144" s="171" t="e">
        <f>-'[1]Nya Energiåtg etapp 1'!O22-'[1]Nya Energiåtg etapp 2'!N22-'[1]Nya Energiåtg etapp 3'!M22-'[1]Nya Energiåtg etapp 4'!L22/12*6</f>
        <v>#REF!</v>
      </c>
      <c r="AT144" s="171" t="e">
        <f>-'[1]Nya Energiåtg etapp 1'!P22-'[1]Nya Energiåtg etapp 2'!O22-'[1]Nya Energiåtg etapp 3'!N22-'[1]Nya Energiåtg etapp 4'!M22</f>
        <v>#REF!</v>
      </c>
      <c r="AU144" s="171" t="e">
        <f>-'[1]Nya Energiåtg etapp 1'!Q22-'[1]Nya Energiåtg etapp 2'!P22-'[1]Nya Energiåtg etapp 3'!O22-'[1]Nya Energiåtg etapp 4'!N22</f>
        <v>#REF!</v>
      </c>
      <c r="AV144" s="171" t="e">
        <f>-'[1]Nya Energiåtg etapp 1'!R22-'[1]Nya Energiåtg etapp 2'!Q22-'[1]Nya Energiåtg etapp 3'!P22-'[1]Nya Energiåtg etapp 4'!O22</f>
        <v>#REF!</v>
      </c>
      <c r="AW144" s="171" t="e">
        <f>-'[1]Nya Energiåtg etapp 1'!S22-'[1]Nya Energiåtg etapp 2'!R22-'[1]Nya Energiåtg etapp 3'!Q22-'[1]Nya Energiåtg etapp 4'!P22</f>
        <v>#REF!</v>
      </c>
      <c r="AX144" s="65"/>
      <c r="AY144" s="65"/>
      <c r="AZ144" s="65"/>
      <c r="BA144" s="65"/>
      <c r="BB144" s="65"/>
      <c r="BC144" s="65"/>
      <c r="BD144" s="65"/>
      <c r="BE144" s="65"/>
      <c r="BF144" s="65"/>
      <c r="BG144" s="65"/>
      <c r="BH144" s="65"/>
      <c r="BI144" s="4"/>
      <c r="BJ144" s="4"/>
    </row>
    <row r="145" spans="1:62" s="102" customFormat="1" ht="32" outlineLevel="1" x14ac:dyDescent="0.2">
      <c r="A145" s="113">
        <v>68</v>
      </c>
      <c r="B145" s="191" t="s">
        <v>438</v>
      </c>
      <c r="C145" s="168" t="s">
        <v>445</v>
      </c>
      <c r="D145" s="258" t="s">
        <v>312</v>
      </c>
      <c r="E145" s="170" t="s">
        <v>446</v>
      </c>
      <c r="F145" s="170">
        <v>1</v>
      </c>
      <c r="G145" s="170"/>
      <c r="H145" s="170" t="s">
        <v>157</v>
      </c>
      <c r="I145" s="170" t="s">
        <v>200</v>
      </c>
      <c r="J145" s="147">
        <v>0</v>
      </c>
      <c r="K145" s="108"/>
      <c r="L145" s="108">
        <v>10000</v>
      </c>
      <c r="M145" s="108">
        <v>10000</v>
      </c>
      <c r="N145" s="60">
        <v>10000</v>
      </c>
      <c r="O145" s="172">
        <f t="shared" si="82"/>
        <v>30000</v>
      </c>
      <c r="P145" s="60"/>
      <c r="Q145" s="97"/>
      <c r="R145" s="97"/>
      <c r="S145" s="97"/>
      <c r="T145" s="97"/>
      <c r="U145" s="97"/>
      <c r="V145" s="97"/>
      <c r="W145" s="146">
        <f t="shared" si="84"/>
        <v>30000</v>
      </c>
      <c r="X145" s="174">
        <f t="shared" si="83"/>
        <v>30000</v>
      </c>
      <c r="Y145" s="175"/>
      <c r="Z145" s="175" t="s">
        <v>441</v>
      </c>
      <c r="AA145" s="175" t="s">
        <v>442</v>
      </c>
      <c r="AB145" s="64"/>
      <c r="AC145" s="99"/>
      <c r="AD145" s="99"/>
      <c r="AE145" s="99"/>
      <c r="AF145" s="99"/>
      <c r="AG145" s="99"/>
      <c r="AH145" s="99"/>
      <c r="AI145" s="99"/>
      <c r="AJ145" s="99"/>
      <c r="AK145" s="99"/>
      <c r="AL145" s="99"/>
      <c r="AM145" s="64"/>
      <c r="AN145" s="64"/>
      <c r="AO145" s="64" t="e">
        <f>-'[1]Stamrenov AS'!L22/12*6</f>
        <v>#REF!</v>
      </c>
      <c r="AP145" s="64" t="e">
        <f>-'[1]Stamrenov AS'!M22-'[1]Stamrenov AS'!L22/12*6</f>
        <v>#REF!</v>
      </c>
      <c r="AQ145" s="64" t="e">
        <f>-'[1]Stamrenov AS'!N22-'[1]Stamrenov AS'!M22-'[1]Stamrenov AS'!L22/12*6</f>
        <v>#REF!</v>
      </c>
      <c r="AR145" s="64" t="e">
        <f>-'[1]Stamrenov AS'!O22-'[1]Stamrenov AS'!N22-'[1]Stamrenov AS'!M22</f>
        <v>#REF!</v>
      </c>
      <c r="AS145" s="64" t="e">
        <f>-'[1]Stamrenov AS'!P22-'[1]Stamrenov AS'!O22-'[1]Stamrenov AS'!N22</f>
        <v>#REF!</v>
      </c>
      <c r="AT145" s="64" t="e">
        <f>-'[1]Stamrenov AS'!Q22-'[1]Stamrenov AS'!P22-'[1]Stamrenov AS'!O22</f>
        <v>#REF!</v>
      </c>
      <c r="AU145" s="64" t="e">
        <f>-'[1]Stamrenov AS'!R22-'[1]Stamrenov AS'!Q22-'[1]Stamrenov AS'!P22</f>
        <v>#REF!</v>
      </c>
      <c r="AV145" s="64" t="e">
        <f>-'[1]Stamrenov AS'!S22-'[1]Stamrenov AS'!R22-'[1]Stamrenov AS'!Q22</f>
        <v>#REF!</v>
      </c>
      <c r="AW145" s="64" t="e">
        <f>-'[1]Stamrenov AS'!T22-'[1]Stamrenov AS'!S22-'[1]Stamrenov AS'!R22</f>
        <v>#REF!</v>
      </c>
      <c r="AX145" s="65"/>
      <c r="AY145" s="65"/>
      <c r="AZ145" s="65"/>
      <c r="BA145" s="65"/>
      <c r="BB145" s="65"/>
      <c r="BC145" s="65"/>
      <c r="BD145" s="65"/>
      <c r="BE145" s="65"/>
      <c r="BF145" s="65"/>
      <c r="BG145" s="65"/>
      <c r="BH145" s="65"/>
      <c r="BI145" s="4"/>
      <c r="BJ145" s="4"/>
    </row>
    <row r="146" spans="1:62" s="102" customFormat="1" ht="16" outlineLevel="1" x14ac:dyDescent="0.2">
      <c r="A146" s="113">
        <v>69</v>
      </c>
      <c r="B146" s="191" t="s">
        <v>438</v>
      </c>
      <c r="C146" s="168" t="s">
        <v>447</v>
      </c>
      <c r="D146" s="258" t="s">
        <v>312</v>
      </c>
      <c r="E146" s="170" t="s">
        <v>448</v>
      </c>
      <c r="F146" s="170">
        <v>2</v>
      </c>
      <c r="G146" s="170"/>
      <c r="H146" s="170" t="s">
        <v>157</v>
      </c>
      <c r="I146" s="170" t="s">
        <v>200</v>
      </c>
      <c r="J146" s="147">
        <v>0</v>
      </c>
      <c r="K146" s="108"/>
      <c r="L146" s="108">
        <v>10000</v>
      </c>
      <c r="M146" s="108">
        <v>15000</v>
      </c>
      <c r="N146" s="60"/>
      <c r="O146" s="172">
        <f t="shared" si="82"/>
        <v>25000</v>
      </c>
      <c r="P146" s="60"/>
      <c r="Q146" s="97"/>
      <c r="R146" s="97"/>
      <c r="S146" s="97"/>
      <c r="T146" s="97"/>
      <c r="U146" s="97"/>
      <c r="V146" s="97"/>
      <c r="W146" s="146">
        <f t="shared" si="84"/>
        <v>25000</v>
      </c>
      <c r="X146" s="174">
        <f t="shared" si="83"/>
        <v>25000</v>
      </c>
      <c r="Y146" s="175"/>
      <c r="Z146" s="175" t="s">
        <v>441</v>
      </c>
      <c r="AA146" s="175" t="s">
        <v>442</v>
      </c>
      <c r="AB146" s="64"/>
      <c r="AC146" s="99"/>
      <c r="AD146" s="99"/>
      <c r="AE146" s="99"/>
      <c r="AF146" s="99"/>
      <c r="AG146" s="99"/>
      <c r="AH146" s="99"/>
      <c r="AI146" s="99"/>
      <c r="AJ146" s="99"/>
      <c r="AK146" s="99"/>
      <c r="AL146" s="99"/>
      <c r="AM146" s="64"/>
      <c r="AN146" s="64"/>
      <c r="AO146" s="64"/>
      <c r="AP146" s="64" t="e">
        <f>-'[1]Fjv AS VS01'!L22/12*6</f>
        <v>#REF!</v>
      </c>
      <c r="AQ146" s="64" t="e">
        <f>-'[1]Fjv AS VS01'!M22</f>
        <v>#REF!</v>
      </c>
      <c r="AR146" s="64" t="e">
        <f>-'[1]Fjv AS VS01'!N22</f>
        <v>#REF!</v>
      </c>
      <c r="AS146" s="64" t="e">
        <f>-'[1]Fjv AS VS01'!O22</f>
        <v>#REF!</v>
      </c>
      <c r="AT146" s="64" t="e">
        <f>-'[1]Fjv AS VS01'!P22</f>
        <v>#REF!</v>
      </c>
      <c r="AU146" s="64" t="e">
        <f>-'[1]Fjv AS VS01'!Q22</f>
        <v>#REF!</v>
      </c>
      <c r="AV146" s="64" t="e">
        <f>-'[1]Fjv AS VS01'!R22</f>
        <v>#REF!</v>
      </c>
      <c r="AW146" s="64" t="e">
        <f>-'[1]Fjv AS VS01'!S22</f>
        <v>#REF!</v>
      </c>
      <c r="AX146" s="65"/>
      <c r="AY146" s="65"/>
      <c r="AZ146" s="65"/>
      <c r="BA146" s="65"/>
      <c r="BB146" s="65"/>
      <c r="BC146" s="65"/>
      <c r="BD146" s="65"/>
      <c r="BE146" s="65"/>
      <c r="BF146" s="65"/>
      <c r="BG146" s="65"/>
      <c r="BH146" s="65"/>
      <c r="BI146" s="4"/>
      <c r="BJ146" s="4"/>
    </row>
    <row r="147" spans="1:62" s="102" customFormat="1" ht="48" outlineLevel="1" x14ac:dyDescent="0.2">
      <c r="A147" s="113">
        <v>70</v>
      </c>
      <c r="B147" s="191" t="s">
        <v>438</v>
      </c>
      <c r="C147" s="168" t="s">
        <v>449</v>
      </c>
      <c r="D147" s="258" t="s">
        <v>312</v>
      </c>
      <c r="E147" s="170" t="s">
        <v>450</v>
      </c>
      <c r="F147" s="170">
        <v>1</v>
      </c>
      <c r="G147" s="170"/>
      <c r="H147" s="170" t="s">
        <v>157</v>
      </c>
      <c r="I147" s="170" t="s">
        <v>200</v>
      </c>
      <c r="J147" s="147">
        <v>0</v>
      </c>
      <c r="K147" s="108">
        <v>5000</v>
      </c>
      <c r="L147" s="108">
        <v>35000</v>
      </c>
      <c r="M147" s="108"/>
      <c r="N147" s="60"/>
      <c r="O147" s="172">
        <f t="shared" si="82"/>
        <v>35000</v>
      </c>
      <c r="P147" s="60"/>
      <c r="Q147" s="97"/>
      <c r="R147" s="97"/>
      <c r="S147" s="97"/>
      <c r="T147" s="97"/>
      <c r="U147" s="97"/>
      <c r="V147" s="97"/>
      <c r="W147" s="146">
        <f t="shared" si="84"/>
        <v>35000</v>
      </c>
      <c r="X147" s="174">
        <f t="shared" si="83"/>
        <v>40000</v>
      </c>
      <c r="Y147" s="175"/>
      <c r="Z147" s="175" t="s">
        <v>441</v>
      </c>
      <c r="AA147" s="175" t="s">
        <v>442</v>
      </c>
      <c r="AB147" s="64"/>
      <c r="AC147" s="99"/>
      <c r="AD147" s="99"/>
      <c r="AE147" s="99"/>
      <c r="AF147" s="99"/>
      <c r="AG147" s="99"/>
      <c r="AH147" s="99"/>
      <c r="AI147" s="99"/>
      <c r="AJ147" s="99"/>
      <c r="AK147" s="99"/>
      <c r="AL147" s="99"/>
      <c r="AM147" s="64"/>
      <c r="AN147" s="64"/>
      <c r="AO147" s="64" t="e">
        <f>-'[1]Fjv AS VS01 (2)'!L22</f>
        <v>#REF!</v>
      </c>
      <c r="AP147" s="64" t="e">
        <f>-'[1]Fjv AS VS01 (2)'!M22</f>
        <v>#REF!</v>
      </c>
      <c r="AQ147" s="64" t="e">
        <f>-'[1]Fjv AS VS01 (2)'!N22</f>
        <v>#REF!</v>
      </c>
      <c r="AR147" s="64" t="e">
        <f>-'[1]Fjv AS VS01 (2)'!O22</f>
        <v>#REF!</v>
      </c>
      <c r="AS147" s="64" t="e">
        <f>-'[1]Fjv AS VS01 (2)'!P22</f>
        <v>#REF!</v>
      </c>
      <c r="AT147" s="64" t="e">
        <f>-'[1]Fjv AS VS01 (2)'!Q22</f>
        <v>#REF!</v>
      </c>
      <c r="AU147" s="64" t="e">
        <f>-'[1]Fjv AS VS01 (2)'!R22</f>
        <v>#REF!</v>
      </c>
      <c r="AV147" s="64" t="e">
        <f>-'[1]Fjv AS VS01 (2)'!S22</f>
        <v>#REF!</v>
      </c>
      <c r="AW147" s="64" t="e">
        <f>-'[1]Fjv AS VS01 (2)'!T22</f>
        <v>#REF!</v>
      </c>
      <c r="AX147" s="65"/>
      <c r="AY147" s="65"/>
      <c r="AZ147" s="65"/>
      <c r="BA147" s="65"/>
      <c r="BB147" s="65"/>
      <c r="BC147" s="65"/>
      <c r="BD147" s="65"/>
      <c r="BE147" s="65"/>
      <c r="BF147" s="65"/>
      <c r="BG147" s="65"/>
      <c r="BH147" s="65"/>
      <c r="BI147" s="4"/>
      <c r="BJ147" s="4"/>
    </row>
    <row r="148" spans="1:62" s="102" customFormat="1" ht="32" outlineLevel="1" x14ac:dyDescent="0.2">
      <c r="A148" s="113">
        <v>71</v>
      </c>
      <c r="B148" s="246" t="s">
        <v>438</v>
      </c>
      <c r="C148" s="186" t="s">
        <v>451</v>
      </c>
      <c r="D148" s="187" t="s">
        <v>452</v>
      </c>
      <c r="E148" s="186" t="s">
        <v>453</v>
      </c>
      <c r="F148" s="170">
        <v>4</v>
      </c>
      <c r="G148" s="170"/>
      <c r="H148" s="170" t="s">
        <v>157</v>
      </c>
      <c r="I148" s="170" t="s">
        <v>264</v>
      </c>
      <c r="J148" s="147">
        <v>80000</v>
      </c>
      <c r="K148" s="108"/>
      <c r="L148" s="108"/>
      <c r="M148" s="108"/>
      <c r="N148" s="60"/>
      <c r="O148" s="172">
        <f t="shared" si="82"/>
        <v>0</v>
      </c>
      <c r="P148" s="180">
        <v>0</v>
      </c>
      <c r="Q148" s="180">
        <v>0</v>
      </c>
      <c r="R148" s="97"/>
      <c r="S148" s="180">
        <v>34000</v>
      </c>
      <c r="T148" s="180">
        <v>34000</v>
      </c>
      <c r="U148" s="97"/>
      <c r="V148" s="97"/>
      <c r="W148" s="146">
        <f t="shared" si="84"/>
        <v>68000</v>
      </c>
      <c r="X148" s="174">
        <f t="shared" si="83"/>
        <v>68000</v>
      </c>
      <c r="Y148" s="175"/>
      <c r="Z148" s="175" t="s">
        <v>441</v>
      </c>
      <c r="AA148" s="175" t="s">
        <v>442</v>
      </c>
      <c r="AB148" s="64"/>
      <c r="AC148" s="99"/>
      <c r="AD148" s="99"/>
      <c r="AE148" s="99"/>
      <c r="AF148" s="99"/>
      <c r="AG148" s="99"/>
      <c r="AH148" s="99"/>
      <c r="AI148" s="99"/>
      <c r="AJ148" s="99"/>
      <c r="AK148" s="99"/>
      <c r="AL148" s="99"/>
      <c r="AM148" s="64"/>
      <c r="AN148" s="64"/>
      <c r="AO148" s="64"/>
      <c r="AP148" s="64"/>
      <c r="AQ148" s="64"/>
      <c r="AR148" s="64"/>
      <c r="AS148" s="260">
        <v>0</v>
      </c>
      <c r="AT148" s="260">
        <v>0</v>
      </c>
      <c r="AU148" s="180">
        <v>0</v>
      </c>
      <c r="AV148" s="180" t="e">
        <f>-[1]Akvifer!L22/12*6</f>
        <v>#REF!</v>
      </c>
      <c r="AW148" s="180" t="e">
        <f>-[1]Akvifer!M22</f>
        <v>#REF!</v>
      </c>
      <c r="AX148" s="65"/>
      <c r="AY148" s="65"/>
      <c r="AZ148" s="65"/>
      <c r="BA148" s="65"/>
      <c r="BB148" s="65"/>
      <c r="BC148" s="65"/>
      <c r="BD148" s="65"/>
      <c r="BE148" s="65"/>
      <c r="BF148" s="65"/>
      <c r="BG148" s="65"/>
      <c r="BH148" s="65"/>
      <c r="BI148" s="4"/>
      <c r="BJ148" s="4"/>
    </row>
    <row r="149" spans="1:62" s="102" customFormat="1" ht="32" outlineLevel="1" x14ac:dyDescent="0.2">
      <c r="A149" s="113">
        <v>72</v>
      </c>
      <c r="B149" s="191" t="s">
        <v>438</v>
      </c>
      <c r="C149" s="168" t="s">
        <v>454</v>
      </c>
      <c r="D149" s="258">
        <v>8041452</v>
      </c>
      <c r="E149" s="170"/>
      <c r="F149" s="170">
        <v>3</v>
      </c>
      <c r="G149" s="170"/>
      <c r="H149" s="170" t="s">
        <v>157</v>
      </c>
      <c r="I149" s="170" t="s">
        <v>276</v>
      </c>
      <c r="J149" s="147">
        <v>1850</v>
      </c>
      <c r="K149" s="147"/>
      <c r="L149" s="147"/>
      <c r="M149" s="147"/>
      <c r="N149" s="108"/>
      <c r="O149" s="172">
        <f t="shared" si="82"/>
        <v>0</v>
      </c>
      <c r="P149" s="147">
        <v>3000</v>
      </c>
      <c r="Q149" s="147">
        <v>15000</v>
      </c>
      <c r="R149" s="147">
        <v>18000</v>
      </c>
      <c r="S149" s="97"/>
      <c r="T149" s="97"/>
      <c r="U149" s="97"/>
      <c r="V149" s="97"/>
      <c r="W149" s="146">
        <f t="shared" si="84"/>
        <v>36000</v>
      </c>
      <c r="X149" s="174">
        <f t="shared" si="83"/>
        <v>36000</v>
      </c>
      <c r="Y149" s="175" t="s">
        <v>455</v>
      </c>
      <c r="Z149" s="175" t="s">
        <v>441</v>
      </c>
      <c r="AA149" s="175" t="s">
        <v>442</v>
      </c>
      <c r="AB149" s="64"/>
      <c r="AC149" s="99"/>
      <c r="AD149" s="99"/>
      <c r="AE149" s="99"/>
      <c r="AF149" s="99"/>
      <c r="AG149" s="99"/>
      <c r="AH149" s="99"/>
      <c r="AI149" s="99"/>
      <c r="AJ149" s="99"/>
      <c r="AK149" s="99"/>
      <c r="AL149" s="99"/>
      <c r="AM149" s="64"/>
      <c r="AN149" s="64"/>
      <c r="AO149" s="64"/>
      <c r="AP149" s="64"/>
      <c r="AQ149" s="64"/>
      <c r="AR149" s="64"/>
      <c r="AS149" s="64"/>
      <c r="AT149" s="64" t="e">
        <f>-'[1]FI kulvert B3'!L22/12*6</f>
        <v>#REF!</v>
      </c>
      <c r="AU149" s="64" t="e">
        <f>-'[1]FI kulvert B3'!M22</f>
        <v>#REF!</v>
      </c>
      <c r="AV149" s="64" t="e">
        <f>-'[1]FI kulvert B3'!N22</f>
        <v>#REF!</v>
      </c>
      <c r="AW149" s="64" t="e">
        <f>-'[1]FI kulvert B3'!O22</f>
        <v>#REF!</v>
      </c>
      <c r="AX149" s="65"/>
      <c r="AY149" s="65"/>
      <c r="AZ149" s="65"/>
      <c r="BA149" s="65"/>
      <c r="BB149" s="65"/>
      <c r="BC149" s="65"/>
      <c r="BD149" s="65"/>
      <c r="BE149" s="65"/>
      <c r="BF149" s="65"/>
      <c r="BG149" s="65"/>
      <c r="BH149" s="65"/>
      <c r="BI149" s="4"/>
      <c r="BJ149" s="4"/>
    </row>
    <row r="150" spans="1:62" s="102" customFormat="1" ht="32" outlineLevel="1" x14ac:dyDescent="0.2">
      <c r="A150" s="113">
        <v>73</v>
      </c>
      <c r="B150" s="191" t="s">
        <v>438</v>
      </c>
      <c r="C150" s="168" t="s">
        <v>456</v>
      </c>
      <c r="D150" s="226"/>
      <c r="E150" s="170" t="s">
        <v>457</v>
      </c>
      <c r="F150" s="170">
        <v>2</v>
      </c>
      <c r="G150" s="170"/>
      <c r="H150" s="170" t="s">
        <v>157</v>
      </c>
      <c r="I150" s="168" t="s">
        <v>276</v>
      </c>
      <c r="J150" s="147"/>
      <c r="K150" s="108">
        <v>3000</v>
      </c>
      <c r="L150" s="108">
        <v>6000</v>
      </c>
      <c r="M150" s="108"/>
      <c r="N150" s="97"/>
      <c r="O150" s="172">
        <f t="shared" si="82"/>
        <v>6000</v>
      </c>
      <c r="P150" s="97"/>
      <c r="Q150" s="97"/>
      <c r="R150" s="97"/>
      <c r="S150" s="97"/>
      <c r="T150" s="97"/>
      <c r="U150" s="97"/>
      <c r="V150" s="97"/>
      <c r="W150" s="146">
        <f t="shared" si="84"/>
        <v>6000</v>
      </c>
      <c r="X150" s="174">
        <f t="shared" si="83"/>
        <v>9000</v>
      </c>
      <c r="Y150" s="175"/>
      <c r="Z150" s="175" t="s">
        <v>441</v>
      </c>
      <c r="AA150" s="175" t="s">
        <v>442</v>
      </c>
      <c r="AB150" s="64"/>
      <c r="AC150" s="99"/>
      <c r="AD150" s="99"/>
      <c r="AE150" s="99"/>
      <c r="AF150" s="99"/>
      <c r="AG150" s="99"/>
      <c r="AH150" s="99"/>
      <c r="AI150" s="99"/>
      <c r="AJ150" s="99"/>
      <c r="AK150" s="99"/>
      <c r="AL150" s="99"/>
      <c r="AM150" s="64"/>
      <c r="AN150" s="64"/>
      <c r="AO150" s="64" t="e">
        <f>-'[1]Ny entre SH '!L22</f>
        <v>#REF!</v>
      </c>
      <c r="AP150" s="64" t="e">
        <f>-'[1]Ny entre SH '!M22</f>
        <v>#REF!</v>
      </c>
      <c r="AQ150" s="64" t="e">
        <f>-'[1]Ny entre SH '!N22</f>
        <v>#REF!</v>
      </c>
      <c r="AR150" s="64" t="e">
        <f>-'[1]Ny entre SH '!O22</f>
        <v>#REF!</v>
      </c>
      <c r="AS150" s="64" t="e">
        <f>-'[1]Ny entre SH '!P22</f>
        <v>#REF!</v>
      </c>
      <c r="AT150" s="64" t="e">
        <f>-'[1]Ny entre SH '!Q22</f>
        <v>#REF!</v>
      </c>
      <c r="AU150" s="64" t="e">
        <f>-'[1]Ny entre SH '!R22</f>
        <v>#REF!</v>
      </c>
      <c r="AV150" s="64" t="e">
        <f>-'[1]Ny entre SH '!S22</f>
        <v>#REF!</v>
      </c>
      <c r="AW150" s="64" t="e">
        <f>-'[1]Ny entre SH '!T22</f>
        <v>#REF!</v>
      </c>
      <c r="AX150" s="65"/>
      <c r="AY150" s="65"/>
      <c r="AZ150" s="65"/>
      <c r="BA150" s="65"/>
      <c r="BB150" s="65"/>
      <c r="BC150" s="65"/>
      <c r="BD150" s="65"/>
      <c r="BE150" s="65"/>
      <c r="BF150" s="65"/>
      <c r="BG150" s="65"/>
      <c r="BH150" s="65"/>
      <c r="BI150" s="4"/>
      <c r="BJ150" s="4"/>
    </row>
    <row r="151" spans="1:62" s="102" customFormat="1" ht="16" outlineLevel="1" x14ac:dyDescent="0.2">
      <c r="A151" s="113">
        <v>74</v>
      </c>
      <c r="B151" s="186" t="s">
        <v>438</v>
      </c>
      <c r="C151" s="186" t="s">
        <v>458</v>
      </c>
      <c r="D151" s="187"/>
      <c r="E151" s="186" t="s">
        <v>459</v>
      </c>
      <c r="F151" s="168">
        <v>0</v>
      </c>
      <c r="G151" s="168"/>
      <c r="H151" s="170" t="s">
        <v>157</v>
      </c>
      <c r="I151" s="168" t="s">
        <v>269</v>
      </c>
      <c r="J151" s="147">
        <v>140000</v>
      </c>
      <c r="K151" s="108">
        <v>100000</v>
      </c>
      <c r="L151" s="180">
        <f>140000-40000</f>
        <v>100000</v>
      </c>
      <c r="M151" s="180">
        <f t="shared" ref="M151:N151" si="86">140000-40000</f>
        <v>100000</v>
      </c>
      <c r="N151" s="180">
        <f t="shared" si="86"/>
        <v>100000</v>
      </c>
      <c r="O151" s="172">
        <f>L151+M151+N151</f>
        <v>300000</v>
      </c>
      <c r="P151" s="180">
        <f>150000-40000</f>
        <v>110000</v>
      </c>
      <c r="Q151" s="180">
        <f t="shared" ref="Q151:R151" si="87">150000-40000</f>
        <v>110000</v>
      </c>
      <c r="R151" s="180">
        <f t="shared" si="87"/>
        <v>110000</v>
      </c>
      <c r="S151" s="108">
        <v>150000</v>
      </c>
      <c r="T151" s="108">
        <v>150000</v>
      </c>
      <c r="U151" s="108">
        <v>150000</v>
      </c>
      <c r="V151" s="108">
        <v>150000</v>
      </c>
      <c r="W151" s="173">
        <f>O151+P151+Q151+R151+S151+T151+U151+V151</f>
        <v>1230000</v>
      </c>
      <c r="X151" s="174">
        <f t="shared" si="83"/>
        <v>1330000</v>
      </c>
      <c r="Y151" s="175"/>
      <c r="Z151" s="175" t="s">
        <v>441</v>
      </c>
      <c r="AA151" s="175" t="s">
        <v>442</v>
      </c>
      <c r="AB151" s="64"/>
      <c r="AC151" s="99"/>
      <c r="AD151" s="99"/>
      <c r="AE151" s="99"/>
      <c r="AF151" s="99"/>
      <c r="AG151" s="99"/>
      <c r="AH151" s="99"/>
      <c r="AI151" s="99"/>
      <c r="AJ151" s="99"/>
      <c r="AK151" s="99"/>
      <c r="AL151" s="99"/>
      <c r="AM151" s="64"/>
      <c r="AN151" s="64">
        <v>7000</v>
      </c>
      <c r="AO151" s="171" t="e">
        <f>-'[1]FI åtg 140 mnkr'!L22/12*6</f>
        <v>#REF!</v>
      </c>
      <c r="AP151" s="171" t="e">
        <f>-'[1]FI åtg 140 mnkr'!M22-'[1]FI åtg 140 mnkr'!L22/12*6</f>
        <v>#REF!</v>
      </c>
      <c r="AQ151" s="171" t="e">
        <f>-'[1]FI åtg 140 mnkr'!N22-'[1]FI åtg 140 mnkr'!M22-'[1]FI åtg 140 mnkr'!L22/12*6</f>
        <v>#REF!</v>
      </c>
      <c r="AR151" s="171" t="e">
        <f>-'[1]FI åtg 140 mnkr'!O22-'[1]FI åtg 140 mnkr'!N22-'[1]FI åtg 140 mnkr'!M22-'[1]FI åtg 140 mnkr'!L22/12*6</f>
        <v>#REF!</v>
      </c>
      <c r="AS151" s="171" t="e">
        <f>-'[1]FI åtg 140 mnkr'!P22-'[1]FI åtg 140 mnkr'!O22-'[1]FI åtg 140 mnkr'!N22-'[1]FI åtg 140 mnkr'!M22-'[1]FI åtg 140 mnkr'!L22/12*6</f>
        <v>#REF!</v>
      </c>
      <c r="AT151" s="171" t="e">
        <f>-'[1]FI åtg 140 mnkr'!Q22-'[1]FI åtg 140 mnkr'!P22-'[1]FI åtg 140 mnkr'!O22-'[1]FI åtg 140 mnkr'!N22-'[1]FI åtg 140 mnkr'!M22-'[1]FI åtg 140 mnkr'!L22/12*6</f>
        <v>#REF!</v>
      </c>
      <c r="AU151" s="171" t="e">
        <f>-'[1]FI åtg 140 mnkr'!R22-'[1]FI åtg 140 mnkr'!Q22-'[1]FI åtg 140 mnkr'!P22-'[1]FI åtg 140 mnkr'!O22-'[1]FI åtg 140 mnkr'!N22-'[1]FI åtg 140 mnkr'!M22-'[1]FI åtg 140 mnkr'!L22/12*6</f>
        <v>#REF!</v>
      </c>
      <c r="AV151" s="171" t="e">
        <f>-'[1]FI åtg 140 mnkr'!S22-'[1]FI åtg 140 mnkr'!R22-'[1]FI åtg 140 mnkr'!Q22-'[1]FI åtg 140 mnkr'!P22-'[1]FI åtg 140 mnkr'!O22-'[1]FI åtg 140 mnkr'!N22-'[1]FI åtg 140 mnkr'!M22-'[1]FI åtg 140 mnkr'!L22/12*6</f>
        <v>#REF!</v>
      </c>
      <c r="AW151" s="171" t="e">
        <f>-'[1]FI åtg 140 mnkr'!T22-'[1]FI åtg 140 mnkr'!S22-'[1]FI åtg 140 mnkr'!R22-'[1]FI åtg 140 mnkr'!Q22-'[1]FI åtg 140 mnkr'!P22-'[1]FI åtg 140 mnkr'!O22-'[1]FI åtg 140 mnkr'!N22-'[1]FI åtg 140 mnkr'!M22-'[1]FI åtg 140 mnkr'!L22/12*6</f>
        <v>#REF!</v>
      </c>
      <c r="AX151" s="65"/>
      <c r="AY151" s="65"/>
      <c r="AZ151" s="65"/>
      <c r="BA151" s="65"/>
      <c r="BB151" s="65"/>
      <c r="BC151" s="65"/>
      <c r="BD151" s="65"/>
      <c r="BE151" s="65"/>
      <c r="BF151" s="65"/>
      <c r="BG151" s="65"/>
      <c r="BH151" s="65"/>
      <c r="BI151" s="4"/>
      <c r="BJ151" s="4"/>
    </row>
    <row r="152" spans="1:62" s="102" customFormat="1" ht="16" outlineLevel="1" x14ac:dyDescent="0.2">
      <c r="A152" s="113">
        <v>75</v>
      </c>
      <c r="B152" s="191" t="s">
        <v>438</v>
      </c>
      <c r="C152" s="168" t="s">
        <v>460</v>
      </c>
      <c r="D152" s="226">
        <v>8040747</v>
      </c>
      <c r="E152" s="170"/>
      <c r="F152" s="170">
        <v>0</v>
      </c>
      <c r="G152" s="170"/>
      <c r="H152" s="170" t="s">
        <v>157</v>
      </c>
      <c r="I152" s="168" t="s">
        <v>269</v>
      </c>
      <c r="J152" s="147">
        <v>32700</v>
      </c>
      <c r="K152" s="108">
        <f>21800+4200-10000</f>
        <v>16000</v>
      </c>
      <c r="L152" s="108">
        <v>5000</v>
      </c>
      <c r="M152" s="108">
        <v>6000</v>
      </c>
      <c r="N152" s="60">
        <v>5700</v>
      </c>
      <c r="O152" s="172">
        <f t="shared" si="82"/>
        <v>16700</v>
      </c>
      <c r="P152" s="60"/>
      <c r="Q152" s="60"/>
      <c r="R152" s="97"/>
      <c r="S152" s="97"/>
      <c r="T152" s="97"/>
      <c r="U152" s="97"/>
      <c r="V152" s="97"/>
      <c r="W152" s="146">
        <f t="shared" si="84"/>
        <v>16700</v>
      </c>
      <c r="X152" s="174">
        <f t="shared" si="83"/>
        <v>32700</v>
      </c>
      <c r="Y152" s="175"/>
      <c r="Z152" s="175" t="s">
        <v>441</v>
      </c>
      <c r="AA152" s="175" t="s">
        <v>442</v>
      </c>
      <c r="AB152" s="64"/>
      <c r="AC152" s="99"/>
      <c r="AD152" s="99"/>
      <c r="AE152" s="99"/>
      <c r="AF152" s="99"/>
      <c r="AG152" s="99"/>
      <c r="AH152" s="99"/>
      <c r="AI152" s="99"/>
      <c r="AJ152" s="99"/>
      <c r="AK152" s="99"/>
      <c r="AL152" s="99"/>
      <c r="AM152" s="64"/>
      <c r="AN152" s="64"/>
      <c r="AO152" s="64"/>
      <c r="AP152" s="64"/>
      <c r="AQ152" s="64" t="e">
        <f>-'[1]FI sop och tvättsug'!L22/12*6</f>
        <v>#REF!</v>
      </c>
      <c r="AR152" s="64" t="e">
        <f>-'[1]FI sop och tvättsug'!M22</f>
        <v>#REF!</v>
      </c>
      <c r="AS152" s="64" t="e">
        <f>-'[1]FI sop och tvättsug'!N22</f>
        <v>#REF!</v>
      </c>
      <c r="AT152" s="64" t="e">
        <f>-'[1]FI sop och tvättsug'!O22</f>
        <v>#REF!</v>
      </c>
      <c r="AU152" s="64" t="e">
        <f>-'[1]FI sop och tvättsug'!P22</f>
        <v>#REF!</v>
      </c>
      <c r="AV152" s="64" t="e">
        <f>-'[1]FI sop och tvättsug'!Q22</f>
        <v>#REF!</v>
      </c>
      <c r="AW152" s="64" t="e">
        <f>-'[1]FI sop och tvättsug'!R22</f>
        <v>#REF!</v>
      </c>
      <c r="AX152" s="65"/>
      <c r="AY152" s="65"/>
      <c r="AZ152" s="65"/>
      <c r="BA152" s="65"/>
      <c r="BB152" s="65"/>
      <c r="BC152" s="65"/>
      <c r="BD152" s="65"/>
      <c r="BE152" s="65"/>
      <c r="BF152" s="65"/>
      <c r="BG152" s="65"/>
      <c r="BH152" s="65"/>
      <c r="BI152" s="4"/>
      <c r="BJ152" s="4"/>
    </row>
    <row r="153" spans="1:62" s="102" customFormat="1" ht="16" outlineLevel="1" x14ac:dyDescent="0.2">
      <c r="A153" s="113">
        <v>76</v>
      </c>
      <c r="B153" s="191" t="s">
        <v>438</v>
      </c>
      <c r="C153" s="168" t="s">
        <v>461</v>
      </c>
      <c r="D153" s="226"/>
      <c r="E153" s="170"/>
      <c r="F153" s="170">
        <v>1</v>
      </c>
      <c r="G153" s="170"/>
      <c r="H153" s="170" t="s">
        <v>157</v>
      </c>
      <c r="I153" s="168" t="s">
        <v>200</v>
      </c>
      <c r="J153" s="147"/>
      <c r="K153" s="108">
        <f>4000+6000</f>
        <v>10000</v>
      </c>
      <c r="L153" s="108">
        <v>7000</v>
      </c>
      <c r="M153" s="108">
        <v>7000</v>
      </c>
      <c r="N153" s="60">
        <v>7000</v>
      </c>
      <c r="O153" s="172">
        <f t="shared" si="82"/>
        <v>21000</v>
      </c>
      <c r="P153" s="60"/>
      <c r="Q153" s="60"/>
      <c r="R153" s="97"/>
      <c r="S153" s="97"/>
      <c r="T153" s="97"/>
      <c r="U153" s="97"/>
      <c r="V153" s="97"/>
      <c r="W153" s="146">
        <f t="shared" si="84"/>
        <v>21000</v>
      </c>
      <c r="X153" s="174">
        <f t="shared" si="83"/>
        <v>31000</v>
      </c>
      <c r="Y153" s="175"/>
      <c r="Z153" s="175" t="s">
        <v>441</v>
      </c>
      <c r="AA153" s="175" t="s">
        <v>442</v>
      </c>
      <c r="AB153" s="64"/>
      <c r="AC153" s="99"/>
      <c r="AD153" s="99"/>
      <c r="AE153" s="99"/>
      <c r="AF153" s="99"/>
      <c r="AG153" s="99"/>
      <c r="AH153" s="99"/>
      <c r="AI153" s="99"/>
      <c r="AJ153" s="99"/>
      <c r="AK153" s="99"/>
      <c r="AL153" s="99"/>
      <c r="AM153" s="64"/>
      <c r="AN153" s="64"/>
      <c r="AO153" s="64"/>
      <c r="AP153" s="64"/>
      <c r="AQ153" s="64" t="e">
        <f>-'[1]Inftastrukt åtg'!L22/12*6</f>
        <v>#REF!</v>
      </c>
      <c r="AR153" s="64" t="e">
        <f>-'[1]Inftastrukt åtg'!M22/12*6</f>
        <v>#REF!</v>
      </c>
      <c r="AS153" s="64" t="e">
        <f>-'[1]Inftastrukt åtg'!N22/12*6</f>
        <v>#REF!</v>
      </c>
      <c r="AT153" s="64" t="e">
        <f>-'[1]Inftastrukt åtg'!O22/12*6</f>
        <v>#REF!</v>
      </c>
      <c r="AU153" s="64" t="e">
        <f>-'[1]Inftastrukt åtg'!P22/12*6</f>
        <v>#REF!</v>
      </c>
      <c r="AV153" s="64" t="e">
        <f>-'[1]Inftastrukt åtg'!Q22/12*6</f>
        <v>#REF!</v>
      </c>
      <c r="AW153" s="64" t="e">
        <f>-'[1]Inftastrukt åtg'!R22/12*6</f>
        <v>#REF!</v>
      </c>
      <c r="AX153" s="65"/>
      <c r="AY153" s="65"/>
      <c r="AZ153" s="65"/>
      <c r="BA153" s="65"/>
      <c r="BB153" s="65"/>
      <c r="BC153" s="65"/>
      <c r="BD153" s="65"/>
      <c r="BE153" s="65"/>
      <c r="BF153" s="65"/>
      <c r="BG153" s="65"/>
      <c r="BH153" s="65"/>
      <c r="BI153" s="4"/>
      <c r="BJ153" s="4"/>
    </row>
    <row r="154" spans="1:62" s="102" customFormat="1" ht="32" outlineLevel="1" x14ac:dyDescent="0.2">
      <c r="A154" s="113">
        <v>77</v>
      </c>
      <c r="B154" s="246" t="s">
        <v>438</v>
      </c>
      <c r="C154" s="186" t="s">
        <v>462</v>
      </c>
      <c r="D154" s="187" t="s">
        <v>463</v>
      </c>
      <c r="E154" s="186" t="s">
        <v>464</v>
      </c>
      <c r="F154" s="170">
        <v>1</v>
      </c>
      <c r="G154" s="170"/>
      <c r="H154" s="170" t="s">
        <v>157</v>
      </c>
      <c r="I154" s="170" t="s">
        <v>269</v>
      </c>
      <c r="J154" s="147">
        <v>100000</v>
      </c>
      <c r="K154" s="147">
        <f>26933+39600-33</f>
        <v>66500</v>
      </c>
      <c r="L154" s="178">
        <f>45500-5000</f>
        <v>40500</v>
      </c>
      <c r="M154" s="108"/>
      <c r="N154" s="60"/>
      <c r="O154" s="172">
        <f>L154+M154+N154</f>
        <v>40500</v>
      </c>
      <c r="P154" s="60"/>
      <c r="Q154" s="97"/>
      <c r="R154" s="97"/>
      <c r="S154" s="97"/>
      <c r="T154" s="97"/>
      <c r="U154" s="97"/>
      <c r="V154" s="97"/>
      <c r="W154" s="173">
        <f t="shared" si="84"/>
        <v>40500</v>
      </c>
      <c r="X154" s="174">
        <f t="shared" si="83"/>
        <v>107000</v>
      </c>
      <c r="Y154" s="175"/>
      <c r="Z154" s="175" t="s">
        <v>441</v>
      </c>
      <c r="AA154" s="175" t="s">
        <v>442</v>
      </c>
      <c r="AB154" s="64"/>
      <c r="AC154" s="99"/>
      <c r="AD154" s="99"/>
      <c r="AE154" s="99"/>
      <c r="AF154" s="99"/>
      <c r="AG154" s="99"/>
      <c r="AH154" s="99"/>
      <c r="AI154" s="99"/>
      <c r="AJ154" s="99"/>
      <c r="AK154" s="99"/>
      <c r="AL154" s="99"/>
      <c r="AM154" s="64"/>
      <c r="AN154" s="64"/>
      <c r="AO154" s="180" t="e">
        <f>-'[1]Energiåtg fr 2015 s peng'!L22/12*6</f>
        <v>#REF!</v>
      </c>
      <c r="AP154" s="180" t="e">
        <f>-'[1]Energiåtg fr 2015 s peng'!M22</f>
        <v>#REF!</v>
      </c>
      <c r="AQ154" s="180" t="e">
        <f>-'[1]Energiåtg fr 2015 s peng'!N22</f>
        <v>#REF!</v>
      </c>
      <c r="AR154" s="180" t="e">
        <f>-'[1]Energiåtg fr 2015 s peng'!O22</f>
        <v>#REF!</v>
      </c>
      <c r="AS154" s="180" t="e">
        <f>-'[1]Energiåtg fr 2015 s peng'!P22</f>
        <v>#REF!</v>
      </c>
      <c r="AT154" s="180" t="e">
        <f>-'[1]Energiåtg fr 2015 s peng'!Q22</f>
        <v>#REF!</v>
      </c>
      <c r="AU154" s="180" t="e">
        <f>-'[1]Energiåtg fr 2015 s peng'!R22</f>
        <v>#REF!</v>
      </c>
      <c r="AV154" s="180" t="e">
        <f>-'[1]Energiåtg fr 2015 s peng'!S22</f>
        <v>#REF!</v>
      </c>
      <c r="AW154" s="180" t="e">
        <f>-'[1]Energiåtg fr 2015 s peng'!T22</f>
        <v>#REF!</v>
      </c>
      <c r="AX154" s="65"/>
      <c r="AY154" s="65"/>
      <c r="AZ154" s="65"/>
      <c r="BA154" s="65"/>
      <c r="BB154" s="65"/>
      <c r="BC154" s="65"/>
      <c r="BD154" s="65"/>
      <c r="BE154" s="65"/>
      <c r="BF154" s="65"/>
      <c r="BG154" s="65"/>
      <c r="BH154" s="65"/>
      <c r="BI154" s="4"/>
      <c r="BJ154" s="4"/>
    </row>
    <row r="155" spans="1:62" s="102" customFormat="1" ht="16" outlineLevel="1" x14ac:dyDescent="0.2">
      <c r="A155" s="113"/>
      <c r="B155" s="261" t="s">
        <v>194</v>
      </c>
      <c r="C155" s="168"/>
      <c r="D155" s="258"/>
      <c r="E155" s="170"/>
      <c r="F155" s="170"/>
      <c r="G155" s="170"/>
      <c r="H155" s="170"/>
      <c r="I155" s="170"/>
      <c r="J155" s="147"/>
      <c r="K155" s="108"/>
      <c r="L155" s="108"/>
      <c r="M155" s="108"/>
      <c r="N155" s="60"/>
      <c r="O155" s="172">
        <f t="shared" si="82"/>
        <v>0</v>
      </c>
      <c r="P155" s="60"/>
      <c r="Q155" s="97"/>
      <c r="R155" s="97"/>
      <c r="S155" s="97"/>
      <c r="T155" s="97"/>
      <c r="U155" s="97"/>
      <c r="V155" s="97"/>
      <c r="W155" s="146">
        <f t="shared" si="84"/>
        <v>0</v>
      </c>
      <c r="X155" s="174">
        <f t="shared" si="83"/>
        <v>0</v>
      </c>
      <c r="Y155" s="175"/>
      <c r="Z155" s="175"/>
      <c r="AA155" s="175"/>
      <c r="AB155" s="64"/>
      <c r="AC155" s="99"/>
      <c r="AD155" s="99"/>
      <c r="AE155" s="99"/>
      <c r="AF155" s="99"/>
      <c r="AG155" s="99"/>
      <c r="AH155" s="99"/>
      <c r="AI155" s="99"/>
      <c r="AJ155" s="99"/>
      <c r="AK155" s="99"/>
      <c r="AL155" s="99"/>
      <c r="AM155" s="64"/>
      <c r="AN155" s="64"/>
      <c r="AO155" s="64"/>
      <c r="AP155" s="64"/>
      <c r="AQ155" s="64"/>
      <c r="AR155" s="64"/>
      <c r="AS155" s="64"/>
      <c r="AT155" s="64"/>
      <c r="AU155" s="64"/>
      <c r="AV155" s="64"/>
      <c r="AW155" s="64"/>
      <c r="AX155" s="65"/>
      <c r="AY155" s="65"/>
      <c r="AZ155" s="65"/>
      <c r="BA155" s="65"/>
      <c r="BB155" s="65"/>
      <c r="BC155" s="65"/>
      <c r="BD155" s="65"/>
      <c r="BE155" s="65"/>
      <c r="BF155" s="65"/>
      <c r="BG155" s="65"/>
      <c r="BH155" s="65"/>
      <c r="BI155" s="4"/>
      <c r="BJ155" s="4"/>
    </row>
    <row r="156" spans="1:62" s="102" customFormat="1" ht="16" outlineLevel="1" x14ac:dyDescent="0.2">
      <c r="A156" s="113"/>
      <c r="B156" s="261" t="s">
        <v>194</v>
      </c>
      <c r="C156" s="168"/>
      <c r="D156" s="258"/>
      <c r="E156" s="170"/>
      <c r="F156" s="170"/>
      <c r="G156" s="170"/>
      <c r="H156" s="170"/>
      <c r="I156" s="170"/>
      <c r="J156" s="175"/>
      <c r="K156" s="60"/>
      <c r="L156" s="60"/>
      <c r="M156" s="60"/>
      <c r="N156" s="97"/>
      <c r="O156" s="172">
        <f t="shared" si="82"/>
        <v>0</v>
      </c>
      <c r="P156" s="97"/>
      <c r="Q156" s="97"/>
      <c r="R156" s="97"/>
      <c r="S156" s="97"/>
      <c r="T156" s="97"/>
      <c r="U156" s="97"/>
      <c r="V156" s="97"/>
      <c r="W156" s="146">
        <f t="shared" si="84"/>
        <v>0</v>
      </c>
      <c r="X156" s="174">
        <f>K156+L156+M156+N156+P156+Q156+R156+S156+T156+U156+V156</f>
        <v>0</v>
      </c>
      <c r="Y156" s="97"/>
      <c r="Z156" s="175"/>
      <c r="AA156" s="175"/>
      <c r="AB156" s="64"/>
      <c r="AC156" s="99"/>
      <c r="AD156" s="99"/>
      <c r="AE156" s="99"/>
      <c r="AF156" s="99"/>
      <c r="AG156" s="99"/>
      <c r="AH156" s="99"/>
      <c r="AI156" s="99"/>
      <c r="AJ156" s="99"/>
      <c r="AK156" s="99"/>
      <c r="AL156" s="99"/>
      <c r="AM156" s="64"/>
      <c r="AN156" s="64"/>
      <c r="AO156" s="64"/>
      <c r="AP156" s="64"/>
      <c r="AQ156" s="64"/>
      <c r="AR156" s="64"/>
      <c r="AS156" s="64"/>
      <c r="AT156" s="64"/>
      <c r="AU156" s="64"/>
      <c r="AV156" s="64"/>
      <c r="AW156" s="64"/>
      <c r="AX156" s="65"/>
      <c r="AY156" s="65"/>
      <c r="AZ156" s="65"/>
      <c r="BA156" s="65"/>
      <c r="BB156" s="65"/>
      <c r="BC156" s="65"/>
      <c r="BD156" s="65"/>
      <c r="BE156" s="65"/>
      <c r="BF156" s="65"/>
      <c r="BG156" s="65"/>
      <c r="BH156" s="65"/>
      <c r="BI156" s="4"/>
      <c r="BJ156" s="4"/>
    </row>
    <row r="157" spans="1:62" s="257" customFormat="1" ht="16" x14ac:dyDescent="0.2">
      <c r="A157" s="212"/>
      <c r="B157" s="253" t="s">
        <v>194</v>
      </c>
      <c r="C157" s="254" t="s">
        <v>465</v>
      </c>
      <c r="D157" s="255"/>
      <c r="E157" s="227"/>
      <c r="F157" s="227"/>
      <c r="G157" s="227"/>
      <c r="H157" s="254"/>
      <c r="I157" s="254"/>
      <c r="J157" s="78">
        <f t="shared" ref="J157:X157" si="88">SUM(J142:J156)</f>
        <v>354550</v>
      </c>
      <c r="K157" s="78">
        <f t="shared" si="88"/>
        <v>204500</v>
      </c>
      <c r="L157" s="78">
        <f>SUM(L142:L156)</f>
        <v>244500</v>
      </c>
      <c r="M157" s="78">
        <f>SUM(M142:M156)</f>
        <v>184000</v>
      </c>
      <c r="N157" s="78">
        <f t="shared" si="88"/>
        <v>149700</v>
      </c>
      <c r="O157" s="78">
        <f t="shared" si="88"/>
        <v>578200</v>
      </c>
      <c r="P157" s="78">
        <f t="shared" si="88"/>
        <v>148000</v>
      </c>
      <c r="Q157" s="78">
        <f t="shared" si="88"/>
        <v>160000</v>
      </c>
      <c r="R157" s="78">
        <f t="shared" si="88"/>
        <v>163000</v>
      </c>
      <c r="S157" s="78">
        <f t="shared" si="88"/>
        <v>184000</v>
      </c>
      <c r="T157" s="78">
        <f t="shared" si="88"/>
        <v>184000</v>
      </c>
      <c r="U157" s="78">
        <f t="shared" si="88"/>
        <v>150000</v>
      </c>
      <c r="V157" s="78">
        <f t="shared" si="88"/>
        <v>150000</v>
      </c>
      <c r="W157" s="78">
        <f t="shared" si="88"/>
        <v>1717200</v>
      </c>
      <c r="X157" s="78">
        <f t="shared" si="88"/>
        <v>1921700</v>
      </c>
      <c r="Y157" s="78"/>
      <c r="Z157" s="78"/>
      <c r="AA157" s="78"/>
      <c r="AB157" s="78">
        <f t="shared" ref="AB157:BH157" si="89">SUM(AB142:AB156)</f>
        <v>0</v>
      </c>
      <c r="AC157" s="78">
        <f t="shared" si="89"/>
        <v>0</v>
      </c>
      <c r="AD157" s="78">
        <f t="shared" si="89"/>
        <v>0</v>
      </c>
      <c r="AE157" s="78">
        <f t="shared" si="89"/>
        <v>0</v>
      </c>
      <c r="AF157" s="78">
        <f t="shared" si="89"/>
        <v>0</v>
      </c>
      <c r="AG157" s="78">
        <f t="shared" si="89"/>
        <v>0</v>
      </c>
      <c r="AH157" s="78">
        <f t="shared" si="89"/>
        <v>0</v>
      </c>
      <c r="AI157" s="78">
        <f t="shared" si="89"/>
        <v>0</v>
      </c>
      <c r="AJ157" s="78">
        <f t="shared" si="89"/>
        <v>0</v>
      </c>
      <c r="AK157" s="78">
        <f t="shared" si="89"/>
        <v>0</v>
      </c>
      <c r="AL157" s="78">
        <f t="shared" si="89"/>
        <v>0</v>
      </c>
      <c r="AM157" s="78">
        <f t="shared" si="89"/>
        <v>0</v>
      </c>
      <c r="AN157" s="78">
        <f t="shared" si="89"/>
        <v>7000</v>
      </c>
      <c r="AO157" s="78" t="e">
        <f t="shared" si="89"/>
        <v>#REF!</v>
      </c>
      <c r="AP157" s="78" t="e">
        <f t="shared" si="89"/>
        <v>#REF!</v>
      </c>
      <c r="AQ157" s="78" t="e">
        <f t="shared" si="89"/>
        <v>#REF!</v>
      </c>
      <c r="AR157" s="78" t="e">
        <f t="shared" si="89"/>
        <v>#REF!</v>
      </c>
      <c r="AS157" s="78" t="e">
        <f t="shared" si="89"/>
        <v>#REF!</v>
      </c>
      <c r="AT157" s="78" t="e">
        <f t="shared" si="89"/>
        <v>#REF!</v>
      </c>
      <c r="AU157" s="78" t="e">
        <f t="shared" si="89"/>
        <v>#REF!</v>
      </c>
      <c r="AV157" s="78" t="e">
        <f t="shared" si="89"/>
        <v>#REF!</v>
      </c>
      <c r="AW157" s="78" t="e">
        <f t="shared" si="89"/>
        <v>#REF!</v>
      </c>
      <c r="AX157" s="78">
        <f t="shared" si="89"/>
        <v>0</v>
      </c>
      <c r="AY157" s="78">
        <f t="shared" si="89"/>
        <v>0</v>
      </c>
      <c r="AZ157" s="78">
        <f t="shared" si="89"/>
        <v>0</v>
      </c>
      <c r="BA157" s="78">
        <f t="shared" si="89"/>
        <v>0</v>
      </c>
      <c r="BB157" s="78">
        <f t="shared" si="89"/>
        <v>0</v>
      </c>
      <c r="BC157" s="78">
        <f t="shared" si="89"/>
        <v>0</v>
      </c>
      <c r="BD157" s="78">
        <f t="shared" si="89"/>
        <v>0</v>
      </c>
      <c r="BE157" s="78">
        <f t="shared" si="89"/>
        <v>0</v>
      </c>
      <c r="BF157" s="78">
        <f t="shared" si="89"/>
        <v>0</v>
      </c>
      <c r="BG157" s="78">
        <f t="shared" si="89"/>
        <v>0</v>
      </c>
      <c r="BH157" s="78">
        <f t="shared" si="89"/>
        <v>0</v>
      </c>
      <c r="BI157" s="256"/>
      <c r="BJ157" s="262"/>
    </row>
    <row r="158" spans="1:62" s="111" customFormat="1" ht="16" x14ac:dyDescent="0.2">
      <c r="A158" s="212"/>
      <c r="B158" s="261" t="s">
        <v>194</v>
      </c>
      <c r="C158" s="191"/>
      <c r="D158" s="188"/>
      <c r="E158" s="168"/>
      <c r="F158" s="168"/>
      <c r="G158" s="168"/>
      <c r="H158" s="168"/>
      <c r="I158" s="168"/>
      <c r="J158" s="147"/>
      <c r="K158" s="108"/>
      <c r="L158" s="108"/>
      <c r="M158" s="263"/>
      <c r="N158" s="263"/>
      <c r="O158" s="146">
        <f>SUM(L158:M158)</f>
        <v>0</v>
      </c>
      <c r="P158" s="263"/>
      <c r="Q158" s="263"/>
      <c r="R158" s="263"/>
      <c r="S158" s="263"/>
      <c r="T158" s="263"/>
      <c r="U158" s="263"/>
      <c r="V158" s="263"/>
      <c r="W158" s="146"/>
      <c r="X158" s="189"/>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9"/>
      <c r="BJ158" s="109"/>
    </row>
    <row r="159" spans="1:62" s="1" customFormat="1" ht="18" x14ac:dyDescent="0.2">
      <c r="A159" s="264"/>
      <c r="B159" s="265"/>
      <c r="C159" s="265" t="s">
        <v>466</v>
      </c>
      <c r="D159" s="266"/>
      <c r="E159" s="267"/>
      <c r="F159" s="267"/>
      <c r="G159" s="267"/>
      <c r="H159" s="268"/>
      <c r="I159" s="268"/>
      <c r="J159" s="269" t="e">
        <f t="shared" ref="J159:X159" si="90">J89+J102+J113+J138+J157</f>
        <v>#REF!</v>
      </c>
      <c r="K159" s="269" t="e">
        <f t="shared" si="90"/>
        <v>#REF!</v>
      </c>
      <c r="L159" s="269">
        <f>L89+L102+L113+L138+L157</f>
        <v>1498334</v>
      </c>
      <c r="M159" s="269">
        <f t="shared" si="90"/>
        <v>1035406</v>
      </c>
      <c r="N159" s="269">
        <f t="shared" si="90"/>
        <v>817477</v>
      </c>
      <c r="O159" s="269">
        <f t="shared" si="90"/>
        <v>3351217</v>
      </c>
      <c r="P159" s="269">
        <f t="shared" si="90"/>
        <v>790422</v>
      </c>
      <c r="Q159" s="269">
        <f t="shared" si="90"/>
        <v>587200</v>
      </c>
      <c r="R159" s="269">
        <f t="shared" si="90"/>
        <v>478974</v>
      </c>
      <c r="S159" s="269">
        <f t="shared" si="90"/>
        <v>982033</v>
      </c>
      <c r="T159" s="269">
        <f t="shared" si="90"/>
        <v>1108750</v>
      </c>
      <c r="U159" s="269">
        <f t="shared" si="90"/>
        <v>988250</v>
      </c>
      <c r="V159" s="269">
        <f>V89+V102+V113+V138+V157</f>
        <v>904750</v>
      </c>
      <c r="W159" s="269">
        <f t="shared" si="90"/>
        <v>9191596</v>
      </c>
      <c r="X159" s="270" t="e">
        <f t="shared" si="90"/>
        <v>#REF!</v>
      </c>
      <c r="Y159" s="269"/>
      <c r="Z159" s="269"/>
      <c r="AA159" s="269"/>
      <c r="AB159" s="269">
        <f t="shared" ref="AB159:BH159" si="91">AB89+AB102+AB113+AB138+AB157</f>
        <v>0</v>
      </c>
      <c r="AC159" s="269" t="e">
        <f t="shared" si="91"/>
        <v>#REF!</v>
      </c>
      <c r="AD159" s="269" t="e">
        <f t="shared" si="91"/>
        <v>#REF!</v>
      </c>
      <c r="AE159" s="269" t="e">
        <f t="shared" si="91"/>
        <v>#REF!</v>
      </c>
      <c r="AF159" s="269" t="e">
        <f t="shared" si="91"/>
        <v>#REF!</v>
      </c>
      <c r="AG159" s="269" t="e">
        <f t="shared" si="91"/>
        <v>#REF!</v>
      </c>
      <c r="AH159" s="269" t="e">
        <f t="shared" si="91"/>
        <v>#REF!</v>
      </c>
      <c r="AI159" s="269" t="e">
        <f t="shared" si="91"/>
        <v>#REF!</v>
      </c>
      <c r="AJ159" s="269" t="e">
        <f t="shared" si="91"/>
        <v>#REF!</v>
      </c>
      <c r="AK159" s="269" t="e">
        <f t="shared" si="91"/>
        <v>#REF!</v>
      </c>
      <c r="AL159" s="269" t="e">
        <f t="shared" si="91"/>
        <v>#REF!</v>
      </c>
      <c r="AM159" s="269">
        <f t="shared" si="91"/>
        <v>0</v>
      </c>
      <c r="AN159" s="269" t="e">
        <f t="shared" si="91"/>
        <v>#REF!</v>
      </c>
      <c r="AO159" s="269" t="e">
        <f t="shared" si="91"/>
        <v>#REF!</v>
      </c>
      <c r="AP159" s="269" t="e">
        <f t="shared" si="91"/>
        <v>#REF!</v>
      </c>
      <c r="AQ159" s="269" t="e">
        <f t="shared" si="91"/>
        <v>#REF!</v>
      </c>
      <c r="AR159" s="269" t="e">
        <f t="shared" si="91"/>
        <v>#REF!</v>
      </c>
      <c r="AS159" s="269" t="e">
        <f t="shared" si="91"/>
        <v>#REF!</v>
      </c>
      <c r="AT159" s="269" t="e">
        <f t="shared" si="91"/>
        <v>#REF!</v>
      </c>
      <c r="AU159" s="269" t="e">
        <f t="shared" si="91"/>
        <v>#REF!</v>
      </c>
      <c r="AV159" s="269" t="e">
        <f t="shared" si="91"/>
        <v>#REF!</v>
      </c>
      <c r="AW159" s="269" t="e">
        <f t="shared" si="91"/>
        <v>#REF!</v>
      </c>
      <c r="AX159" s="269">
        <f t="shared" si="91"/>
        <v>0</v>
      </c>
      <c r="AY159" s="269">
        <f t="shared" si="91"/>
        <v>0</v>
      </c>
      <c r="AZ159" s="269">
        <f t="shared" si="91"/>
        <v>11748</v>
      </c>
      <c r="BA159" s="269">
        <f t="shared" si="91"/>
        <v>0</v>
      </c>
      <c r="BB159" s="269">
        <f t="shared" si="91"/>
        <v>29217</v>
      </c>
      <c r="BC159" s="269">
        <f t="shared" si="91"/>
        <v>0</v>
      </c>
      <c r="BD159" s="269">
        <f t="shared" si="91"/>
        <v>46942</v>
      </c>
      <c r="BE159" s="269">
        <f t="shared" si="91"/>
        <v>0</v>
      </c>
      <c r="BF159" s="269">
        <f t="shared" si="91"/>
        <v>0</v>
      </c>
      <c r="BG159" s="269">
        <f t="shared" si="91"/>
        <v>0</v>
      </c>
      <c r="BH159" s="269">
        <f t="shared" si="91"/>
        <v>25000</v>
      </c>
      <c r="BI159" s="4"/>
      <c r="BJ159" s="4"/>
    </row>
    <row r="160" spans="1:62" x14ac:dyDescent="0.15">
      <c r="B160" s="157" t="s">
        <v>194</v>
      </c>
      <c r="AB160" s="271"/>
      <c r="AC160" s="271"/>
      <c r="AD160" s="271"/>
      <c r="AE160" s="271"/>
      <c r="AF160" s="271"/>
      <c r="AG160" s="271"/>
      <c r="AH160" s="271"/>
      <c r="AI160" s="271"/>
      <c r="AJ160" s="271"/>
      <c r="AK160" s="271"/>
      <c r="AL160" s="271"/>
      <c r="AM160" s="271"/>
      <c r="AN160" s="271"/>
      <c r="AO160" s="271"/>
      <c r="AP160" s="271"/>
      <c r="AQ160" s="271"/>
      <c r="AR160" s="271"/>
      <c r="AS160" s="271"/>
      <c r="AT160" s="271"/>
      <c r="AU160" s="271"/>
      <c r="AV160" s="271"/>
      <c r="AW160" s="271"/>
      <c r="AX160" s="271"/>
      <c r="AY160" s="271"/>
      <c r="AZ160" s="271"/>
      <c r="BA160" s="272"/>
      <c r="BB160" s="272"/>
      <c r="BC160" s="272"/>
      <c r="BD160" s="272"/>
      <c r="BE160" s="272"/>
      <c r="BF160" s="272"/>
      <c r="BG160" s="272"/>
      <c r="BH160" s="272"/>
    </row>
    <row r="161" spans="1:69" s="25" customFormat="1" ht="14" hidden="1" x14ac:dyDescent="0.15">
      <c r="A161" s="273"/>
      <c r="D161" s="274"/>
      <c r="E161" s="275"/>
      <c r="F161" s="275"/>
      <c r="G161" s="275"/>
      <c r="H161" s="275"/>
      <c r="I161" s="275"/>
      <c r="J161" s="276"/>
      <c r="K161" s="277"/>
      <c r="L161" s="277"/>
      <c r="M161" s="277"/>
      <c r="N161" s="277"/>
      <c r="O161" s="278"/>
      <c r="P161" s="277"/>
      <c r="Q161" s="277"/>
      <c r="R161" s="277"/>
      <c r="S161" s="277"/>
      <c r="T161" s="277"/>
      <c r="U161" s="277"/>
      <c r="V161" s="277"/>
      <c r="W161" s="277"/>
      <c r="X161" s="278"/>
      <c r="Y161" s="277"/>
      <c r="Z161" s="277"/>
      <c r="AA161" s="277"/>
      <c r="AB161" s="277"/>
      <c r="AC161" s="277"/>
      <c r="AD161" s="277"/>
      <c r="AE161" s="277"/>
      <c r="AF161" s="277"/>
      <c r="AG161" s="277"/>
      <c r="AH161" s="277"/>
      <c r="AI161" s="277"/>
      <c r="AJ161" s="277"/>
      <c r="AK161" s="277"/>
      <c r="AL161" s="277"/>
      <c r="AM161" s="277"/>
      <c r="AN161" s="277"/>
      <c r="AO161" s="277"/>
      <c r="AP161" s="277"/>
      <c r="AQ161" s="277"/>
      <c r="AR161" s="277"/>
      <c r="AS161" s="277"/>
      <c r="AT161" s="277"/>
      <c r="AU161" s="277"/>
      <c r="AV161" s="277"/>
      <c r="AW161" s="277"/>
      <c r="AX161" s="277"/>
      <c r="AY161" s="277"/>
      <c r="AZ161" s="277"/>
      <c r="BA161" s="277"/>
      <c r="BB161" s="277"/>
      <c r="BC161" s="277"/>
      <c r="BD161" s="277"/>
      <c r="BE161" s="277"/>
      <c r="BF161" s="277"/>
      <c r="BG161" s="277"/>
      <c r="BH161" s="277"/>
      <c r="BI161" s="4"/>
      <c r="BJ161" s="4"/>
    </row>
    <row r="162" spans="1:69" s="4" customFormat="1" ht="18" hidden="1" x14ac:dyDescent="0.2">
      <c r="A162" s="57"/>
      <c r="B162" s="1"/>
      <c r="C162" s="1" t="s">
        <v>467</v>
      </c>
      <c r="D162" s="68"/>
      <c r="E162" s="103"/>
      <c r="F162" s="103"/>
      <c r="G162" s="103"/>
      <c r="H162" s="103"/>
      <c r="I162" s="103"/>
      <c r="J162" s="5"/>
      <c r="K162" s="48"/>
      <c r="L162" s="48"/>
      <c r="M162" s="48"/>
      <c r="N162" s="48"/>
      <c r="O162" s="279"/>
      <c r="P162" s="48"/>
      <c r="Q162" s="48"/>
      <c r="R162" s="48"/>
      <c r="S162" s="48"/>
      <c r="T162" s="48"/>
      <c r="U162" s="48"/>
      <c r="V162" s="48"/>
      <c r="W162" s="48"/>
      <c r="X162" s="279"/>
      <c r="Y162" s="48"/>
      <c r="Z162" s="48"/>
      <c r="AA162" s="48"/>
      <c r="AB162" s="280"/>
      <c r="AC162" s="280"/>
      <c r="AD162" s="280"/>
      <c r="AE162" s="280"/>
      <c r="AF162" s="280"/>
      <c r="AG162" s="280"/>
      <c r="AH162" s="280"/>
      <c r="AI162" s="280"/>
      <c r="AJ162" s="280"/>
      <c r="AK162" s="280"/>
      <c r="AL162" s="280"/>
      <c r="AM162" s="280"/>
      <c r="AN162" s="280"/>
      <c r="AO162" s="280"/>
      <c r="AP162" s="280"/>
      <c r="AQ162" s="280"/>
      <c r="AR162" s="280"/>
      <c r="AS162" s="280"/>
      <c r="AT162" s="280"/>
      <c r="AU162" s="280"/>
      <c r="AV162" s="280"/>
      <c r="AW162" s="280"/>
      <c r="AX162" s="280"/>
      <c r="AY162" s="280"/>
      <c r="AZ162" s="280"/>
      <c r="BA162" s="280"/>
      <c r="BB162" s="280"/>
      <c r="BC162" s="280"/>
      <c r="BD162" s="280"/>
      <c r="BE162" s="280"/>
      <c r="BF162" s="280"/>
      <c r="BG162" s="280"/>
      <c r="BH162" s="280"/>
    </row>
    <row r="163" spans="1:69" s="102" customFormat="1" ht="16" hidden="1" x14ac:dyDescent="0.2">
      <c r="A163" s="113"/>
      <c r="B163" s="229"/>
      <c r="C163" s="168"/>
      <c r="D163" s="216"/>
      <c r="E163" s="170"/>
      <c r="F163" s="170"/>
      <c r="G163" s="170"/>
      <c r="H163" s="170"/>
      <c r="I163" s="170"/>
      <c r="J163" s="218"/>
      <c r="K163" s="189"/>
      <c r="L163" s="60"/>
      <c r="M163" s="60"/>
      <c r="N163" s="60"/>
      <c r="O163" s="172"/>
      <c r="P163" s="60"/>
      <c r="Q163" s="97"/>
      <c r="R163" s="97"/>
      <c r="S163" s="97"/>
      <c r="T163" s="97"/>
      <c r="U163" s="97"/>
      <c r="V163" s="97"/>
      <c r="W163" s="172"/>
      <c r="X163" s="174"/>
      <c r="Y163" s="175"/>
      <c r="Z163" s="175"/>
      <c r="AA163" s="175"/>
      <c r="AB163" s="64"/>
      <c r="AC163" s="99"/>
      <c r="AD163" s="99"/>
      <c r="AE163" s="99"/>
      <c r="AF163" s="99"/>
      <c r="AG163" s="99"/>
      <c r="AH163" s="99"/>
      <c r="AI163" s="99"/>
      <c r="AJ163" s="99"/>
      <c r="AK163" s="99"/>
      <c r="AL163" s="99"/>
      <c r="AM163" s="64"/>
      <c r="AN163" s="64"/>
      <c r="AO163" s="64"/>
      <c r="AP163" s="64"/>
      <c r="AQ163" s="64"/>
      <c r="AR163" s="64"/>
      <c r="AS163" s="64"/>
      <c r="AT163" s="64"/>
      <c r="AU163" s="64"/>
      <c r="AV163" s="64"/>
      <c r="AW163" s="64"/>
      <c r="AX163" s="65"/>
      <c r="AY163" s="65"/>
      <c r="AZ163" s="65"/>
      <c r="BA163" s="65"/>
      <c r="BB163" s="65"/>
      <c r="BC163" s="65"/>
      <c r="BD163" s="65"/>
      <c r="BE163" s="65"/>
      <c r="BF163" s="65"/>
      <c r="BG163" s="65"/>
      <c r="BH163" s="65"/>
      <c r="BI163" s="4"/>
      <c r="BJ163" s="4"/>
    </row>
    <row r="164" spans="1:69" s="257" customFormat="1" ht="32" hidden="1" x14ac:dyDescent="0.2">
      <c r="A164" s="212"/>
      <c r="B164" s="281"/>
      <c r="C164" s="281" t="s">
        <v>468</v>
      </c>
      <c r="D164" s="282"/>
      <c r="E164" s="283"/>
      <c r="F164" s="283"/>
      <c r="G164" s="283"/>
      <c r="H164" s="281"/>
      <c r="I164" s="281"/>
      <c r="J164" s="284"/>
      <c r="K164" s="284">
        <f t="shared" ref="K164:U164" si="92">SUM(K163:K163)</f>
        <v>0</v>
      </c>
      <c r="L164" s="284">
        <f t="shared" si="92"/>
        <v>0</v>
      </c>
      <c r="M164" s="284">
        <f t="shared" si="92"/>
        <v>0</v>
      </c>
      <c r="N164" s="284">
        <f t="shared" si="92"/>
        <v>0</v>
      </c>
      <c r="O164" s="284">
        <f t="shared" si="92"/>
        <v>0</v>
      </c>
      <c r="P164" s="284">
        <f t="shared" si="92"/>
        <v>0</v>
      </c>
      <c r="Q164" s="284">
        <f t="shared" si="92"/>
        <v>0</v>
      </c>
      <c r="R164" s="284">
        <f t="shared" si="92"/>
        <v>0</v>
      </c>
      <c r="S164" s="284">
        <f t="shared" si="92"/>
        <v>0</v>
      </c>
      <c r="T164" s="284">
        <f t="shared" si="92"/>
        <v>0</v>
      </c>
      <c r="U164" s="284">
        <f t="shared" si="92"/>
        <v>0</v>
      </c>
      <c r="V164" s="284"/>
      <c r="W164" s="284">
        <f>SUM(W163:W163)</f>
        <v>0</v>
      </c>
      <c r="X164" s="284">
        <f>SUM(X163:X163)</f>
        <v>0</v>
      </c>
      <c r="Y164" s="284">
        <f>SUM(Y163:Y163)</f>
        <v>0</v>
      </c>
      <c r="Z164" s="284"/>
      <c r="AA164" s="284">
        <f t="shared" ref="AA164:BH164" si="93">SUM(AA163:AA163)</f>
        <v>0</v>
      </c>
      <c r="AB164" s="284">
        <f t="shared" si="93"/>
        <v>0</v>
      </c>
      <c r="AC164" s="284">
        <f t="shared" si="93"/>
        <v>0</v>
      </c>
      <c r="AD164" s="284">
        <f t="shared" si="93"/>
        <v>0</v>
      </c>
      <c r="AE164" s="284">
        <f t="shared" si="93"/>
        <v>0</v>
      </c>
      <c r="AF164" s="284">
        <f t="shared" si="93"/>
        <v>0</v>
      </c>
      <c r="AG164" s="284">
        <f t="shared" si="93"/>
        <v>0</v>
      </c>
      <c r="AH164" s="284">
        <f t="shared" si="93"/>
        <v>0</v>
      </c>
      <c r="AI164" s="284">
        <f t="shared" si="93"/>
        <v>0</v>
      </c>
      <c r="AJ164" s="284">
        <f t="shared" si="93"/>
        <v>0</v>
      </c>
      <c r="AK164" s="284">
        <f t="shared" si="93"/>
        <v>0</v>
      </c>
      <c r="AL164" s="284"/>
      <c r="AM164" s="284">
        <f t="shared" si="93"/>
        <v>0</v>
      </c>
      <c r="AN164" s="284">
        <f t="shared" si="93"/>
        <v>0</v>
      </c>
      <c r="AO164" s="284">
        <f t="shared" si="93"/>
        <v>0</v>
      </c>
      <c r="AP164" s="284">
        <f t="shared" si="93"/>
        <v>0</v>
      </c>
      <c r="AQ164" s="284">
        <f t="shared" si="93"/>
        <v>0</v>
      </c>
      <c r="AR164" s="284">
        <f t="shared" si="93"/>
        <v>0</v>
      </c>
      <c r="AS164" s="284">
        <f t="shared" si="93"/>
        <v>0</v>
      </c>
      <c r="AT164" s="284">
        <f t="shared" si="93"/>
        <v>0</v>
      </c>
      <c r="AU164" s="284">
        <f t="shared" si="93"/>
        <v>0</v>
      </c>
      <c r="AV164" s="284">
        <f t="shared" si="93"/>
        <v>0</v>
      </c>
      <c r="AW164" s="284"/>
      <c r="AX164" s="284">
        <f t="shared" si="93"/>
        <v>0</v>
      </c>
      <c r="AY164" s="284">
        <f t="shared" si="93"/>
        <v>0</v>
      </c>
      <c r="AZ164" s="284">
        <f t="shared" si="93"/>
        <v>0</v>
      </c>
      <c r="BA164" s="284">
        <f t="shared" si="93"/>
        <v>0</v>
      </c>
      <c r="BB164" s="284">
        <f t="shared" si="93"/>
        <v>0</v>
      </c>
      <c r="BC164" s="284">
        <f t="shared" si="93"/>
        <v>0</v>
      </c>
      <c r="BD164" s="284">
        <f t="shared" si="93"/>
        <v>0</v>
      </c>
      <c r="BE164" s="284">
        <f t="shared" si="93"/>
        <v>0</v>
      </c>
      <c r="BF164" s="284">
        <f t="shared" si="93"/>
        <v>0</v>
      </c>
      <c r="BG164" s="284">
        <f t="shared" si="93"/>
        <v>0</v>
      </c>
      <c r="BH164" s="284">
        <f t="shared" si="93"/>
        <v>0</v>
      </c>
      <c r="BI164" s="256"/>
      <c r="BJ164" s="256"/>
    </row>
    <row r="165" spans="1:69" hidden="1" x14ac:dyDescent="0.1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row>
    <row r="166" spans="1:69" hidden="1" x14ac:dyDescent="0.1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row>
    <row r="167" spans="1:69" hidden="1" x14ac:dyDescent="0.15"/>
    <row r="168" spans="1:69" s="67" customFormat="1" ht="16" x14ac:dyDescent="0.2">
      <c r="A168" s="113"/>
      <c r="D168" s="58"/>
      <c r="E168" s="74"/>
      <c r="F168" s="74"/>
      <c r="G168" s="74"/>
      <c r="H168" s="74"/>
      <c r="I168" s="74"/>
      <c r="J168" s="122"/>
      <c r="L168" s="123"/>
      <c r="M168" s="123"/>
      <c r="O168" s="286"/>
      <c r="X168" s="126"/>
    </row>
    <row r="169" spans="1:69" s="291" customFormat="1" ht="48" hidden="1" x14ac:dyDescent="0.2">
      <c r="A169" s="287"/>
      <c r="B169" s="288"/>
      <c r="C169" s="288"/>
      <c r="D169" s="289"/>
      <c r="E169" s="290"/>
      <c r="F169" s="290"/>
      <c r="G169" s="290"/>
      <c r="H169" s="290"/>
      <c r="I169" s="114"/>
      <c r="J169" s="51" t="s">
        <v>469</v>
      </c>
      <c r="K169" s="51" t="s">
        <v>6</v>
      </c>
      <c r="L169" s="52" t="s">
        <v>7</v>
      </c>
      <c r="M169" s="52" t="s">
        <v>8</v>
      </c>
      <c r="N169" s="52" t="s">
        <v>9</v>
      </c>
      <c r="O169" s="52" t="s">
        <v>470</v>
      </c>
      <c r="P169" s="52" t="s">
        <v>11</v>
      </c>
      <c r="Q169" s="52" t="s">
        <v>12</v>
      </c>
      <c r="R169" s="52" t="s">
        <v>13</v>
      </c>
      <c r="S169" s="52" t="s">
        <v>14</v>
      </c>
      <c r="T169" s="52" t="s">
        <v>15</v>
      </c>
      <c r="U169" s="52" t="s">
        <v>16</v>
      </c>
      <c r="V169" s="51" t="s">
        <v>17</v>
      </c>
      <c r="W169" s="52" t="s">
        <v>471</v>
      </c>
      <c r="X169" s="52" t="s">
        <v>133</v>
      </c>
    </row>
    <row r="170" spans="1:69" s="67" customFormat="1" ht="16" hidden="1" x14ac:dyDescent="0.2">
      <c r="A170" s="113"/>
      <c r="D170" s="58"/>
      <c r="E170" s="74"/>
      <c r="F170" s="74"/>
      <c r="G170" s="74"/>
      <c r="H170" s="74"/>
      <c r="I170" s="170" t="s">
        <v>200</v>
      </c>
      <c r="J170" s="175">
        <f>J78+J59+J74+J61+J62+J63+J64+J65+J73+J66+J67+J68+J69+J70+J71+J72+J92+J93+J94+J95+J96+J97+J98+J99+J100+J127+J105+J106+J107+J108+J109+J110+J117+J129+J131+J128+J134+J135+J136+J142+J143+J144+J145+J146</f>
        <v>4860</v>
      </c>
      <c r="K170" s="175">
        <f>K78+K59+K74+K61+K62+K63+K64+K65+K73+K66+K67+K68+K69+K70+K71+K72+K92+K93+K94+K95+K96+K97+K98+K99+K100+K127+K105+K106+K107+K108+K109+K110+K117+K129+K131+K128+K134+K135+K136+K142+K143+K144+K145+K146</f>
        <v>34842</v>
      </c>
      <c r="L170" s="175">
        <f>L78+L59+L74+L61+L62+L63+L64+L65+L73+L66+L67+L68+L69+L70+L71+L72+L92+L93+L94+L95+L96+L97+L98+L99+L100+L127+L105+L106+L107+L108+L109+L110+L117+L129+L131+L128+L134+L135+L136+L142+L143+L144+L145+L146</f>
        <v>270000</v>
      </c>
      <c r="M170" s="175">
        <f>M78+M59+M74+M61+M62+M63+M64+M65+M73+M66+M67+M68+M69+M70+M71+M72+M92+M93+M94+M95+M96+M97+M98+M99+M100+M127+M105+M106+M107+M108+M109+M110+M117+M129+M131+M128+M130+M134+M135+M136+M142+M143+M144+M145+M146</f>
        <v>248500</v>
      </c>
      <c r="N170" s="175">
        <f>N78+N59+N74+N61+N62+N63+N64+N65+N73+N66+N67+N68+P69+P70+P71+P72+N92+N93+N94+N95+N96+N97+N98+N99+N100+N127+N105+N106+N107+N108+N109+N110+N117+N129+N131+N128+N130+N134+N135+N136+N142+N143+N144+N145+N146</f>
        <v>207000</v>
      </c>
      <c r="O170" s="175">
        <f t="shared" ref="O170:X170" si="94">O78+O59+O74+O61+O62+O63+O64+O65+O73+O66+O67+O68+O69+O70+O71+O72+O92+O93+O94+O95+O96+O97+O98+O99+O100+O127+O105+O106+O107+O108+O109+O110+O117+O129+O131+O128+O130+O134+O135+O136+O142+O143+O144+O145+O146</f>
        <v>720500</v>
      </c>
      <c r="P170" s="175" t="e">
        <f>P78+P59+P74+P61+P62+P63+P64+P65+P73+P66+P67+P68+#REF!+#REF!+#REF!+#REF!+P92+P93+P94+P95+P96+P97+P98+P99+P100+P127+P105+P106+P107+P108+P109+P110+P117+P129+P131+P128+P130+P134+P135+P136+P142+P143+P144+P145+P146</f>
        <v>#REF!</v>
      </c>
      <c r="Q170" s="175">
        <f t="shared" si="94"/>
        <v>185500</v>
      </c>
      <c r="R170" s="175">
        <f t="shared" si="94"/>
        <v>235000</v>
      </c>
      <c r="S170" s="175">
        <f t="shared" si="94"/>
        <v>286158</v>
      </c>
      <c r="T170" s="175">
        <f t="shared" si="94"/>
        <v>380000</v>
      </c>
      <c r="U170" s="175">
        <f t="shared" si="94"/>
        <v>399500</v>
      </c>
      <c r="V170" s="175">
        <f t="shared" si="94"/>
        <v>277000</v>
      </c>
      <c r="W170" s="175">
        <f t="shared" si="94"/>
        <v>2693658</v>
      </c>
      <c r="X170" s="175">
        <f t="shared" si="94"/>
        <v>2728500</v>
      </c>
    </row>
    <row r="171" spans="1:69" s="67" customFormat="1" ht="16" hidden="1" x14ac:dyDescent="0.2">
      <c r="A171" s="113"/>
      <c r="D171" s="58"/>
      <c r="E171" s="74"/>
      <c r="F171" s="74"/>
      <c r="G171" s="74"/>
      <c r="H171" s="74"/>
      <c r="I171" s="170" t="s">
        <v>245</v>
      </c>
      <c r="J171" s="175">
        <f t="shared" ref="J171:X171" si="95">J75+J76+J77+J137</f>
        <v>13133</v>
      </c>
      <c r="K171" s="175">
        <f t="shared" si="95"/>
        <v>25641</v>
      </c>
      <c r="L171" s="175">
        <f t="shared" si="95"/>
        <v>10000</v>
      </c>
      <c r="M171" s="175">
        <f t="shared" si="95"/>
        <v>15000</v>
      </c>
      <c r="N171" s="175">
        <f t="shared" si="95"/>
        <v>14349</v>
      </c>
      <c r="O171" s="175">
        <f t="shared" si="95"/>
        <v>39349</v>
      </c>
      <c r="P171" s="175">
        <f t="shared" si="95"/>
        <v>0</v>
      </c>
      <c r="Q171" s="175">
        <f t="shared" si="95"/>
        <v>0</v>
      </c>
      <c r="R171" s="175">
        <f t="shared" si="95"/>
        <v>0</v>
      </c>
      <c r="S171" s="175">
        <f t="shared" si="95"/>
        <v>466750</v>
      </c>
      <c r="T171" s="175">
        <f t="shared" si="95"/>
        <v>507750</v>
      </c>
      <c r="U171" s="175">
        <f t="shared" si="95"/>
        <v>438750</v>
      </c>
      <c r="V171" s="175">
        <f t="shared" si="95"/>
        <v>477750</v>
      </c>
      <c r="W171" s="175">
        <f t="shared" si="95"/>
        <v>1930349</v>
      </c>
      <c r="X171" s="175">
        <f t="shared" si="95"/>
        <v>1955990</v>
      </c>
    </row>
    <row r="172" spans="1:69" s="67" customFormat="1" ht="16" hidden="1" x14ac:dyDescent="0.2">
      <c r="A172" s="113"/>
      <c r="D172" s="58"/>
      <c r="E172" s="74"/>
      <c r="F172" s="74"/>
      <c r="G172" s="74"/>
      <c r="H172" s="74"/>
      <c r="I172" s="170" t="s">
        <v>276</v>
      </c>
      <c r="J172" s="175" t="e">
        <f>J79+J80+J82+J83+J84+J85+J86+J111+J149+J150</f>
        <v>#REF!</v>
      </c>
      <c r="K172" s="175" t="e">
        <f t="shared" ref="K172:X172" si="96">K79+K80+K82+K83+K84+K85+K86+K111+K149+K150</f>
        <v>#REF!</v>
      </c>
      <c r="L172" s="175">
        <f t="shared" si="96"/>
        <v>473025</v>
      </c>
      <c r="M172" s="175">
        <f t="shared" si="96"/>
        <v>512180</v>
      </c>
      <c r="N172" s="175">
        <f t="shared" si="96"/>
        <v>357600</v>
      </c>
      <c r="O172" s="175">
        <f t="shared" si="96"/>
        <v>1342805</v>
      </c>
      <c r="P172" s="175">
        <f t="shared" si="96"/>
        <v>391800</v>
      </c>
      <c r="Q172" s="175">
        <f t="shared" si="96"/>
        <v>291700</v>
      </c>
      <c r="R172" s="175">
        <f t="shared" si="96"/>
        <v>133974</v>
      </c>
      <c r="S172" s="175">
        <f t="shared" si="96"/>
        <v>35000</v>
      </c>
      <c r="T172" s="175">
        <f t="shared" si="96"/>
        <v>37000</v>
      </c>
      <c r="U172" s="175">
        <f t="shared" si="96"/>
        <v>0</v>
      </c>
      <c r="V172" s="175">
        <f t="shared" si="96"/>
        <v>0</v>
      </c>
      <c r="W172" s="175">
        <f t="shared" si="96"/>
        <v>2232279</v>
      </c>
      <c r="X172" s="175" t="e">
        <f t="shared" si="96"/>
        <v>#REF!</v>
      </c>
    </row>
    <row r="173" spans="1:69" s="67" customFormat="1" ht="16" hidden="1" x14ac:dyDescent="0.2">
      <c r="A173" s="113"/>
      <c r="D173" s="58"/>
      <c r="E173" s="74"/>
      <c r="F173" s="74"/>
      <c r="G173" s="74"/>
      <c r="H173" s="74"/>
      <c r="I173" s="170" t="s">
        <v>102</v>
      </c>
      <c r="J173" s="175" t="e">
        <f t="shared" ref="J173:X173" si="97">J87+J88+J151+J148+J154+J152</f>
        <v>#REF!</v>
      </c>
      <c r="K173" s="175" t="e">
        <f t="shared" si="97"/>
        <v>#REF!</v>
      </c>
      <c r="L173" s="175">
        <f t="shared" si="97"/>
        <v>703309</v>
      </c>
      <c r="M173" s="175">
        <f t="shared" si="97"/>
        <v>247726</v>
      </c>
      <c r="N173" s="175">
        <f t="shared" si="97"/>
        <v>236528</v>
      </c>
      <c r="O173" s="175">
        <f t="shared" si="97"/>
        <v>1187563</v>
      </c>
      <c r="P173" s="175">
        <f t="shared" si="97"/>
        <v>188622</v>
      </c>
      <c r="Q173" s="175">
        <f t="shared" si="97"/>
        <v>110000</v>
      </c>
      <c r="R173" s="175">
        <f t="shared" si="97"/>
        <v>110000</v>
      </c>
      <c r="S173" s="175">
        <f t="shared" si="97"/>
        <v>184000</v>
      </c>
      <c r="T173" s="175">
        <f t="shared" si="97"/>
        <v>184000</v>
      </c>
      <c r="U173" s="175">
        <f t="shared" si="97"/>
        <v>150000</v>
      </c>
      <c r="V173" s="175">
        <f t="shared" si="97"/>
        <v>150000</v>
      </c>
      <c r="W173" s="175">
        <f t="shared" si="97"/>
        <v>2264185</v>
      </c>
      <c r="X173" s="175" t="e">
        <f t="shared" si="97"/>
        <v>#REF!</v>
      </c>
    </row>
    <row r="174" spans="1:69" s="102" customFormat="1" ht="16" hidden="1" x14ac:dyDescent="0.2">
      <c r="A174" s="113"/>
      <c r="D174" s="120"/>
      <c r="E174" s="93"/>
      <c r="F174" s="93"/>
      <c r="G174" s="93"/>
      <c r="H174" s="93"/>
      <c r="I174" s="217"/>
      <c r="J174" s="218" t="e">
        <f>SUM(J170:J173)</f>
        <v>#REF!</v>
      </c>
      <c r="K174" s="218" t="e">
        <f t="shared" ref="K174:X174" si="98">SUM(K170:K173)</f>
        <v>#REF!</v>
      </c>
      <c r="L174" s="218">
        <f t="shared" si="98"/>
        <v>1456334</v>
      </c>
      <c r="M174" s="218">
        <f t="shared" si="98"/>
        <v>1023406</v>
      </c>
      <c r="N174" s="218">
        <f t="shared" si="98"/>
        <v>815477</v>
      </c>
      <c r="O174" s="218">
        <f t="shared" si="98"/>
        <v>3290217</v>
      </c>
      <c r="P174" s="218" t="e">
        <f t="shared" si="98"/>
        <v>#REF!</v>
      </c>
      <c r="Q174" s="218">
        <f t="shared" si="98"/>
        <v>587200</v>
      </c>
      <c r="R174" s="218">
        <f t="shared" si="98"/>
        <v>478974</v>
      </c>
      <c r="S174" s="218">
        <f t="shared" si="98"/>
        <v>971908</v>
      </c>
      <c r="T174" s="218">
        <f t="shared" si="98"/>
        <v>1108750</v>
      </c>
      <c r="U174" s="218">
        <f t="shared" si="98"/>
        <v>988250</v>
      </c>
      <c r="V174" s="218">
        <f t="shared" si="98"/>
        <v>904750</v>
      </c>
      <c r="W174" s="218">
        <f t="shared" si="98"/>
        <v>9120471</v>
      </c>
      <c r="X174" s="218" t="e">
        <f t="shared" si="98"/>
        <v>#REF!</v>
      </c>
    </row>
    <row r="175" spans="1:69" s="126" customFormat="1" ht="16" hidden="1" x14ac:dyDescent="0.2">
      <c r="A175" s="113"/>
      <c r="B175" s="67"/>
      <c r="C175" s="67"/>
      <c r="D175" s="58"/>
      <c r="E175" s="74"/>
      <c r="F175" s="74"/>
      <c r="G175" s="74"/>
      <c r="H175" s="74"/>
      <c r="I175" s="74"/>
      <c r="J175" s="122"/>
      <c r="K175" s="67"/>
      <c r="L175" s="67"/>
      <c r="M175" s="67"/>
      <c r="N175" s="67"/>
      <c r="O175" s="125"/>
      <c r="P175" s="67"/>
      <c r="Q175" s="67"/>
      <c r="R175" s="67"/>
      <c r="S175" s="67"/>
      <c r="T175" s="67"/>
      <c r="U175" s="67"/>
      <c r="V175" s="67"/>
      <c r="W175" s="67"/>
      <c r="Y175" s="67"/>
      <c r="Z175" s="67"/>
      <c r="AA175" s="6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67"/>
      <c r="BJ175" s="67"/>
      <c r="BL175" s="67"/>
      <c r="BM175" s="67"/>
      <c r="BN175" s="67"/>
      <c r="BO175" s="67"/>
      <c r="BP175" s="67"/>
      <c r="BQ175" s="67"/>
    </row>
    <row r="176" spans="1:69" s="126" customFormat="1" ht="16" hidden="1" x14ac:dyDescent="0.2">
      <c r="A176" s="113"/>
      <c r="B176" s="67"/>
      <c r="C176" s="67"/>
      <c r="D176" s="58"/>
      <c r="E176" s="74"/>
      <c r="F176" s="74"/>
      <c r="G176" s="74"/>
      <c r="H176" s="74"/>
      <c r="I176" s="74" t="s">
        <v>124</v>
      </c>
      <c r="J176" s="122" t="e">
        <f>J159-J174</f>
        <v>#REF!</v>
      </c>
      <c r="K176" s="122" t="e">
        <f t="shared" ref="K176:X176" si="99">K159-K174</f>
        <v>#REF!</v>
      </c>
      <c r="L176" s="122">
        <f t="shared" si="99"/>
        <v>42000</v>
      </c>
      <c r="M176" s="122">
        <f t="shared" si="99"/>
        <v>12000</v>
      </c>
      <c r="N176" s="122">
        <f t="shared" si="99"/>
        <v>2000</v>
      </c>
      <c r="O176" s="122">
        <f t="shared" si="99"/>
        <v>61000</v>
      </c>
      <c r="P176" s="122" t="e">
        <f t="shared" si="99"/>
        <v>#REF!</v>
      </c>
      <c r="Q176" s="122">
        <f t="shared" si="99"/>
        <v>0</v>
      </c>
      <c r="R176" s="122">
        <f t="shared" si="99"/>
        <v>0</v>
      </c>
      <c r="S176" s="122">
        <f t="shared" si="99"/>
        <v>10125</v>
      </c>
      <c r="T176" s="122">
        <f>T159-T174</f>
        <v>0</v>
      </c>
      <c r="U176" s="122">
        <f t="shared" si="99"/>
        <v>0</v>
      </c>
      <c r="V176" s="122">
        <f t="shared" si="99"/>
        <v>0</v>
      </c>
      <c r="W176" s="122">
        <f t="shared" si="99"/>
        <v>71125</v>
      </c>
      <c r="X176" s="122" t="e">
        <f t="shared" si="99"/>
        <v>#REF!</v>
      </c>
      <c r="Y176" s="67"/>
      <c r="Z176" s="67"/>
      <c r="AA176" s="6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67"/>
      <c r="BJ176" s="67"/>
      <c r="BL176" s="67"/>
      <c r="BM176" s="67"/>
      <c r="BN176" s="67"/>
      <c r="BO176" s="67"/>
      <c r="BP176" s="67"/>
      <c r="BQ176" s="67"/>
    </row>
    <row r="177" spans="1:69" s="126" customFormat="1" ht="16" hidden="1" x14ac:dyDescent="0.2">
      <c r="A177" s="113"/>
      <c r="B177" s="67"/>
      <c r="C177" s="67"/>
      <c r="D177" s="58"/>
      <c r="E177" s="74"/>
      <c r="F177" s="74"/>
      <c r="G177" s="74"/>
      <c r="H177" s="74"/>
      <c r="I177" s="74"/>
      <c r="J177" s="122"/>
      <c r="K177" s="67"/>
      <c r="L177" s="67"/>
      <c r="M177" s="67"/>
      <c r="N177" s="67"/>
      <c r="O177" s="125"/>
      <c r="P177" s="67"/>
      <c r="Q177" s="67"/>
      <c r="R177" s="67"/>
      <c r="S177" s="67"/>
      <c r="T177" s="67"/>
      <c r="U177" s="67"/>
      <c r="V177" s="67"/>
      <c r="W177" s="67"/>
      <c r="Y177" s="67"/>
      <c r="Z177" s="67"/>
      <c r="AA177" s="6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67"/>
      <c r="BJ177" s="67"/>
      <c r="BL177" s="67"/>
      <c r="BM177" s="67"/>
      <c r="BN177" s="67"/>
      <c r="BO177" s="67"/>
      <c r="BP177" s="67"/>
      <c r="BQ177" s="67"/>
    </row>
    <row r="178" spans="1:69" s="67" customFormat="1" ht="16" hidden="1" x14ac:dyDescent="0.2">
      <c r="A178" s="113"/>
      <c r="D178" s="58"/>
      <c r="E178" s="74"/>
      <c r="F178" s="74"/>
      <c r="G178" s="74"/>
      <c r="H178" s="74"/>
      <c r="I178" s="74"/>
      <c r="J178" s="122"/>
      <c r="O178" s="125"/>
      <c r="X178" s="126"/>
    </row>
    <row r="179" spans="1:69" s="126" customFormat="1" ht="16" hidden="1" x14ac:dyDescent="0.2">
      <c r="A179" s="113"/>
      <c r="B179" s="67"/>
      <c r="C179" s="67"/>
      <c r="D179" s="58"/>
      <c r="E179" s="74"/>
      <c r="F179" s="74"/>
      <c r="G179" s="74"/>
      <c r="H179" s="74"/>
      <c r="I179" s="170" t="s">
        <v>472</v>
      </c>
      <c r="J179" s="175">
        <f>J142+J143+J144+J145+J146</f>
        <v>0</v>
      </c>
      <c r="K179" s="175">
        <f t="shared" ref="K179:X179" si="100">K142+K143+K144+K145+K146</f>
        <v>4000</v>
      </c>
      <c r="L179" s="175">
        <f t="shared" si="100"/>
        <v>51000</v>
      </c>
      <c r="M179" s="175">
        <f t="shared" si="100"/>
        <v>71000</v>
      </c>
      <c r="N179" s="175">
        <f t="shared" si="100"/>
        <v>37000</v>
      </c>
      <c r="O179" s="175">
        <f t="shared" si="100"/>
        <v>159000</v>
      </c>
      <c r="P179" s="175">
        <f t="shared" si="100"/>
        <v>35000</v>
      </c>
      <c r="Q179" s="175">
        <f t="shared" si="100"/>
        <v>35000</v>
      </c>
      <c r="R179" s="175">
        <f t="shared" si="100"/>
        <v>35000</v>
      </c>
      <c r="S179" s="175">
        <f t="shared" si="100"/>
        <v>0</v>
      </c>
      <c r="T179" s="175">
        <f t="shared" si="100"/>
        <v>0</v>
      </c>
      <c r="U179" s="175">
        <f t="shared" si="100"/>
        <v>0</v>
      </c>
      <c r="V179" s="175">
        <f t="shared" si="100"/>
        <v>0</v>
      </c>
      <c r="W179" s="175">
        <f t="shared" si="100"/>
        <v>264000</v>
      </c>
      <c r="X179" s="175">
        <f t="shared" si="100"/>
        <v>268000</v>
      </c>
      <c r="Y179" s="67"/>
      <c r="Z179" s="67"/>
      <c r="AA179" s="67"/>
      <c r="BI179" s="67"/>
      <c r="BJ179" s="67"/>
      <c r="BL179" s="67"/>
      <c r="BM179" s="67"/>
      <c r="BN179" s="67"/>
      <c r="BO179" s="67"/>
      <c r="BP179" s="67"/>
      <c r="BQ179" s="67"/>
    </row>
    <row r="180" spans="1:69" s="126" customFormat="1" ht="16" hidden="1" x14ac:dyDescent="0.2">
      <c r="A180" s="113"/>
      <c r="B180" s="67"/>
      <c r="C180" s="67"/>
      <c r="D180" s="58"/>
      <c r="E180" s="74"/>
      <c r="F180" s="74"/>
      <c r="G180" s="74"/>
      <c r="H180" s="74"/>
      <c r="I180" s="170" t="s">
        <v>473</v>
      </c>
      <c r="J180" s="175">
        <v>0</v>
      </c>
      <c r="K180" s="175">
        <v>0</v>
      </c>
      <c r="L180" s="175">
        <v>0</v>
      </c>
      <c r="M180" s="175">
        <v>0</v>
      </c>
      <c r="N180" s="175">
        <v>0</v>
      </c>
      <c r="O180" s="175">
        <v>0</v>
      </c>
      <c r="P180" s="175">
        <v>0</v>
      </c>
      <c r="Q180" s="175">
        <v>0</v>
      </c>
      <c r="R180" s="175">
        <v>0</v>
      </c>
      <c r="S180" s="175">
        <v>0</v>
      </c>
      <c r="T180" s="175">
        <v>0</v>
      </c>
      <c r="U180" s="175">
        <v>0</v>
      </c>
      <c r="V180" s="175">
        <v>0</v>
      </c>
      <c r="W180" s="175">
        <v>0</v>
      </c>
      <c r="X180" s="175">
        <v>0</v>
      </c>
      <c r="Y180" s="67"/>
      <c r="Z180" s="67"/>
      <c r="AA180" s="67"/>
      <c r="BI180" s="67"/>
      <c r="BJ180" s="67"/>
      <c r="BL180" s="67"/>
      <c r="BM180" s="67"/>
      <c r="BN180" s="67"/>
      <c r="BO180" s="67"/>
      <c r="BP180" s="67"/>
      <c r="BQ180" s="67"/>
    </row>
    <row r="181" spans="1:69" s="67" customFormat="1" ht="16" hidden="1" x14ac:dyDescent="0.2">
      <c r="A181" s="113"/>
      <c r="D181" s="58"/>
      <c r="E181" s="74"/>
      <c r="F181" s="74"/>
      <c r="G181" s="74"/>
      <c r="H181" s="74"/>
      <c r="I181" s="170" t="s">
        <v>474</v>
      </c>
      <c r="J181" s="175">
        <f>J149+J150</f>
        <v>1850</v>
      </c>
      <c r="K181" s="175">
        <f t="shared" ref="K181:X181" si="101">K149+K150</f>
        <v>3000</v>
      </c>
      <c r="L181" s="175">
        <f t="shared" si="101"/>
        <v>6000</v>
      </c>
      <c r="M181" s="175">
        <f t="shared" si="101"/>
        <v>0</v>
      </c>
      <c r="N181" s="175">
        <f t="shared" si="101"/>
        <v>0</v>
      </c>
      <c r="O181" s="175">
        <f t="shared" si="101"/>
        <v>6000</v>
      </c>
      <c r="P181" s="175">
        <f t="shared" si="101"/>
        <v>3000</v>
      </c>
      <c r="Q181" s="175">
        <f t="shared" si="101"/>
        <v>15000</v>
      </c>
      <c r="R181" s="175">
        <f t="shared" si="101"/>
        <v>18000</v>
      </c>
      <c r="S181" s="175">
        <f t="shared" si="101"/>
        <v>0</v>
      </c>
      <c r="T181" s="175">
        <f t="shared" si="101"/>
        <v>0</v>
      </c>
      <c r="U181" s="175">
        <f t="shared" si="101"/>
        <v>0</v>
      </c>
      <c r="V181" s="175">
        <f t="shared" si="101"/>
        <v>0</v>
      </c>
      <c r="W181" s="175">
        <f t="shared" si="101"/>
        <v>42000</v>
      </c>
      <c r="X181" s="175">
        <f t="shared" si="101"/>
        <v>45000</v>
      </c>
    </row>
    <row r="182" spans="1:69" s="67" customFormat="1" ht="16" hidden="1" x14ac:dyDescent="0.2">
      <c r="A182" s="113"/>
      <c r="D182" s="58"/>
      <c r="E182" s="74"/>
      <c r="F182" s="74"/>
      <c r="G182" s="74"/>
      <c r="H182" s="74"/>
      <c r="I182" s="170" t="s">
        <v>475</v>
      </c>
      <c r="J182" s="175">
        <f>J151+J148+J154+J152</f>
        <v>352700</v>
      </c>
      <c r="K182" s="175">
        <f t="shared" ref="K182:X182" si="102">K151+K148+K154+K152</f>
        <v>182500</v>
      </c>
      <c r="L182" s="175">
        <f t="shared" si="102"/>
        <v>145500</v>
      </c>
      <c r="M182" s="175">
        <f t="shared" si="102"/>
        <v>106000</v>
      </c>
      <c r="N182" s="175">
        <f t="shared" si="102"/>
        <v>105700</v>
      </c>
      <c r="O182" s="175">
        <f t="shared" si="102"/>
        <v>357200</v>
      </c>
      <c r="P182" s="175">
        <f t="shared" si="102"/>
        <v>110000</v>
      </c>
      <c r="Q182" s="175">
        <f t="shared" si="102"/>
        <v>110000</v>
      </c>
      <c r="R182" s="175">
        <f t="shared" si="102"/>
        <v>110000</v>
      </c>
      <c r="S182" s="175">
        <f t="shared" si="102"/>
        <v>184000</v>
      </c>
      <c r="T182" s="175">
        <f t="shared" si="102"/>
        <v>184000</v>
      </c>
      <c r="U182" s="175">
        <f t="shared" si="102"/>
        <v>150000</v>
      </c>
      <c r="V182" s="175">
        <f t="shared" si="102"/>
        <v>150000</v>
      </c>
      <c r="W182" s="175">
        <f t="shared" si="102"/>
        <v>1355200</v>
      </c>
      <c r="X182" s="175">
        <f t="shared" si="102"/>
        <v>1537700</v>
      </c>
    </row>
    <row r="183" spans="1:69" s="102" customFormat="1" ht="16" hidden="1" x14ac:dyDescent="0.2">
      <c r="A183" s="113"/>
      <c r="D183" s="120"/>
      <c r="E183" s="93"/>
      <c r="F183" s="93"/>
      <c r="G183" s="93"/>
      <c r="H183" s="93"/>
      <c r="I183" s="217"/>
      <c r="J183" s="218">
        <f>SUM(J179:J182)</f>
        <v>354550</v>
      </c>
      <c r="K183" s="218">
        <f t="shared" ref="K183:X183" si="103">SUM(K179:K182)</f>
        <v>189500</v>
      </c>
      <c r="L183" s="218">
        <f t="shared" si="103"/>
        <v>202500</v>
      </c>
      <c r="M183" s="218">
        <f t="shared" si="103"/>
        <v>177000</v>
      </c>
      <c r="N183" s="218">
        <f t="shared" si="103"/>
        <v>142700</v>
      </c>
      <c r="O183" s="218">
        <f t="shared" si="103"/>
        <v>522200</v>
      </c>
      <c r="P183" s="218">
        <f t="shared" si="103"/>
        <v>148000</v>
      </c>
      <c r="Q183" s="218">
        <f t="shared" si="103"/>
        <v>160000</v>
      </c>
      <c r="R183" s="218">
        <f t="shared" si="103"/>
        <v>163000</v>
      </c>
      <c r="S183" s="218">
        <f t="shared" si="103"/>
        <v>184000</v>
      </c>
      <c r="T183" s="218">
        <f t="shared" si="103"/>
        <v>184000</v>
      </c>
      <c r="U183" s="218">
        <f t="shared" si="103"/>
        <v>150000</v>
      </c>
      <c r="V183" s="218">
        <f t="shared" si="103"/>
        <v>150000</v>
      </c>
      <c r="W183" s="218">
        <f t="shared" si="103"/>
        <v>1661200</v>
      </c>
      <c r="X183" s="218">
        <f t="shared" si="103"/>
        <v>1850700</v>
      </c>
    </row>
    <row r="184" spans="1:69" s="67" customFormat="1" ht="16" hidden="1" x14ac:dyDescent="0.2">
      <c r="A184" s="113"/>
      <c r="D184" s="58"/>
      <c r="E184" s="74"/>
      <c r="F184" s="74"/>
      <c r="G184" s="74"/>
      <c r="H184" s="74"/>
      <c r="I184" s="74"/>
      <c r="J184" s="122"/>
      <c r="O184" s="125"/>
      <c r="X184" s="126"/>
    </row>
    <row r="185" spans="1:69" s="67" customFormat="1" ht="16" hidden="1" x14ac:dyDescent="0.2">
      <c r="A185" s="113"/>
      <c r="D185" s="58"/>
      <c r="E185" s="74"/>
      <c r="F185" s="74"/>
      <c r="G185" s="74"/>
      <c r="H185" s="74"/>
      <c r="I185" s="74"/>
      <c r="J185" s="122"/>
      <c r="O185" s="125"/>
      <c r="X185" s="126"/>
    </row>
    <row r="186" spans="1:69" s="67" customFormat="1" ht="16" hidden="1" x14ac:dyDescent="0.2">
      <c r="A186" s="113"/>
      <c r="D186" s="58"/>
      <c r="E186" s="74"/>
      <c r="F186" s="74"/>
      <c r="G186" s="74"/>
      <c r="H186" s="74"/>
      <c r="I186" s="170" t="s">
        <v>476</v>
      </c>
      <c r="J186" s="175">
        <f>J170-J179</f>
        <v>4860</v>
      </c>
      <c r="K186" s="175">
        <f t="shared" ref="K186:X186" si="104">K170-K179</f>
        <v>30842</v>
      </c>
      <c r="L186" s="175">
        <f t="shared" si="104"/>
        <v>219000</v>
      </c>
      <c r="M186" s="175">
        <f t="shared" si="104"/>
        <v>177500</v>
      </c>
      <c r="N186" s="175">
        <f t="shared" si="104"/>
        <v>170000</v>
      </c>
      <c r="O186" s="175">
        <f t="shared" si="104"/>
        <v>561500</v>
      </c>
      <c r="P186" s="175" t="e">
        <f t="shared" si="104"/>
        <v>#REF!</v>
      </c>
      <c r="Q186" s="175">
        <f t="shared" si="104"/>
        <v>150500</v>
      </c>
      <c r="R186" s="175">
        <f t="shared" si="104"/>
        <v>200000</v>
      </c>
      <c r="S186" s="175">
        <f t="shared" si="104"/>
        <v>286158</v>
      </c>
      <c r="T186" s="175">
        <f t="shared" si="104"/>
        <v>380000</v>
      </c>
      <c r="U186" s="175">
        <f t="shared" si="104"/>
        <v>399500</v>
      </c>
      <c r="V186" s="175">
        <f t="shared" si="104"/>
        <v>277000</v>
      </c>
      <c r="W186" s="175">
        <f t="shared" si="104"/>
        <v>2429658</v>
      </c>
      <c r="X186" s="175">
        <f t="shared" si="104"/>
        <v>2460500</v>
      </c>
    </row>
    <row r="187" spans="1:69" s="67" customFormat="1" ht="16" hidden="1" x14ac:dyDescent="0.2">
      <c r="A187" s="113"/>
      <c r="D187" s="58"/>
      <c r="E187" s="74"/>
      <c r="F187" s="74"/>
      <c r="G187" s="74"/>
      <c r="H187" s="74"/>
      <c r="I187" s="170" t="s">
        <v>477</v>
      </c>
      <c r="J187" s="175">
        <f t="shared" ref="J187:X189" si="105">J171-J180</f>
        <v>13133</v>
      </c>
      <c r="K187" s="175">
        <f t="shared" si="105"/>
        <v>25641</v>
      </c>
      <c r="L187" s="175">
        <f t="shared" si="105"/>
        <v>10000</v>
      </c>
      <c r="M187" s="175">
        <f t="shared" si="105"/>
        <v>15000</v>
      </c>
      <c r="N187" s="175">
        <f t="shared" si="105"/>
        <v>14349</v>
      </c>
      <c r="O187" s="175">
        <f t="shared" si="105"/>
        <v>39349</v>
      </c>
      <c r="P187" s="175">
        <f t="shared" si="105"/>
        <v>0</v>
      </c>
      <c r="Q187" s="175">
        <f t="shared" si="105"/>
        <v>0</v>
      </c>
      <c r="R187" s="175">
        <f t="shared" si="105"/>
        <v>0</v>
      </c>
      <c r="S187" s="175">
        <f t="shared" si="105"/>
        <v>466750</v>
      </c>
      <c r="T187" s="175">
        <f t="shared" si="105"/>
        <v>507750</v>
      </c>
      <c r="U187" s="175">
        <f t="shared" si="105"/>
        <v>438750</v>
      </c>
      <c r="V187" s="175">
        <f t="shared" si="105"/>
        <v>477750</v>
      </c>
      <c r="W187" s="175">
        <f t="shared" si="105"/>
        <v>1930349</v>
      </c>
      <c r="X187" s="175">
        <f t="shared" si="105"/>
        <v>1955990</v>
      </c>
    </row>
    <row r="188" spans="1:69" s="67" customFormat="1" ht="16" hidden="1" x14ac:dyDescent="0.2">
      <c r="A188" s="113"/>
      <c r="D188" s="58"/>
      <c r="E188" s="74"/>
      <c r="F188" s="74"/>
      <c r="G188" s="74"/>
      <c r="H188" s="74"/>
      <c r="I188" s="170" t="s">
        <v>478</v>
      </c>
      <c r="J188" s="175" t="e">
        <f t="shared" si="105"/>
        <v>#REF!</v>
      </c>
      <c r="K188" s="175" t="e">
        <f t="shared" si="105"/>
        <v>#REF!</v>
      </c>
      <c r="L188" s="175">
        <f t="shared" si="105"/>
        <v>467025</v>
      </c>
      <c r="M188" s="175">
        <f t="shared" si="105"/>
        <v>512180</v>
      </c>
      <c r="N188" s="175">
        <f t="shared" si="105"/>
        <v>357600</v>
      </c>
      <c r="O188" s="175">
        <f t="shared" si="105"/>
        <v>1336805</v>
      </c>
      <c r="P188" s="175">
        <f t="shared" si="105"/>
        <v>388800</v>
      </c>
      <c r="Q188" s="175">
        <f t="shared" si="105"/>
        <v>276700</v>
      </c>
      <c r="R188" s="175">
        <f t="shared" si="105"/>
        <v>115974</v>
      </c>
      <c r="S188" s="175">
        <f t="shared" si="105"/>
        <v>35000</v>
      </c>
      <c r="T188" s="175">
        <f t="shared" si="105"/>
        <v>37000</v>
      </c>
      <c r="U188" s="175">
        <f t="shared" si="105"/>
        <v>0</v>
      </c>
      <c r="V188" s="175">
        <f t="shared" si="105"/>
        <v>0</v>
      </c>
      <c r="W188" s="175">
        <f t="shared" si="105"/>
        <v>2190279</v>
      </c>
      <c r="X188" s="175" t="e">
        <f t="shared" si="105"/>
        <v>#REF!</v>
      </c>
    </row>
    <row r="189" spans="1:69" s="67" customFormat="1" ht="16" hidden="1" x14ac:dyDescent="0.2">
      <c r="A189" s="113"/>
      <c r="D189" s="58"/>
      <c r="E189" s="74"/>
      <c r="F189" s="74"/>
      <c r="G189" s="74"/>
      <c r="H189" s="74"/>
      <c r="I189" s="170" t="s">
        <v>479</v>
      </c>
      <c r="J189" s="175" t="e">
        <f t="shared" si="105"/>
        <v>#REF!</v>
      </c>
      <c r="K189" s="175" t="e">
        <f t="shared" si="105"/>
        <v>#REF!</v>
      </c>
      <c r="L189" s="175">
        <f t="shared" si="105"/>
        <v>557809</v>
      </c>
      <c r="M189" s="175">
        <f t="shared" si="105"/>
        <v>141726</v>
      </c>
      <c r="N189" s="175">
        <f t="shared" si="105"/>
        <v>130828</v>
      </c>
      <c r="O189" s="175">
        <f t="shared" si="105"/>
        <v>830363</v>
      </c>
      <c r="P189" s="175">
        <f t="shared" si="105"/>
        <v>78622</v>
      </c>
      <c r="Q189" s="175">
        <f t="shared" si="105"/>
        <v>0</v>
      </c>
      <c r="R189" s="175">
        <f t="shared" si="105"/>
        <v>0</v>
      </c>
      <c r="S189" s="175">
        <f t="shared" si="105"/>
        <v>0</v>
      </c>
      <c r="T189" s="175">
        <f t="shared" si="105"/>
        <v>0</v>
      </c>
      <c r="U189" s="175">
        <f t="shared" si="105"/>
        <v>0</v>
      </c>
      <c r="V189" s="175">
        <f t="shared" si="105"/>
        <v>0</v>
      </c>
      <c r="W189" s="175">
        <f t="shared" si="105"/>
        <v>908985</v>
      </c>
      <c r="X189" s="175" t="e">
        <f t="shared" si="105"/>
        <v>#REF!</v>
      </c>
    </row>
    <row r="190" spans="1:69" s="102" customFormat="1" ht="16" hidden="1" x14ac:dyDescent="0.2">
      <c r="A190" s="113"/>
      <c r="D190" s="120"/>
      <c r="E190" s="93"/>
      <c r="F190" s="93"/>
      <c r="G190" s="93"/>
      <c r="H190" s="93"/>
      <c r="I190" s="217"/>
      <c r="J190" s="218" t="e">
        <f>SUM(J186:J189)</f>
        <v>#REF!</v>
      </c>
      <c r="K190" s="218" t="e">
        <f t="shared" ref="K190:X190" si="106">SUM(K186:K189)</f>
        <v>#REF!</v>
      </c>
      <c r="L190" s="218">
        <f t="shared" si="106"/>
        <v>1253834</v>
      </c>
      <c r="M190" s="218">
        <f t="shared" si="106"/>
        <v>846406</v>
      </c>
      <c r="N190" s="218">
        <f t="shared" si="106"/>
        <v>672777</v>
      </c>
      <c r="O190" s="218">
        <f t="shared" si="106"/>
        <v>2768017</v>
      </c>
      <c r="P190" s="218" t="e">
        <f t="shared" si="106"/>
        <v>#REF!</v>
      </c>
      <c r="Q190" s="218">
        <f t="shared" si="106"/>
        <v>427200</v>
      </c>
      <c r="R190" s="218">
        <f t="shared" si="106"/>
        <v>315974</v>
      </c>
      <c r="S190" s="218">
        <f t="shared" si="106"/>
        <v>787908</v>
      </c>
      <c r="T190" s="218">
        <f t="shared" si="106"/>
        <v>924750</v>
      </c>
      <c r="U190" s="218">
        <f t="shared" si="106"/>
        <v>838250</v>
      </c>
      <c r="V190" s="218">
        <f t="shared" si="106"/>
        <v>754750</v>
      </c>
      <c r="W190" s="218">
        <f t="shared" si="106"/>
        <v>7459271</v>
      </c>
      <c r="X190" s="218" t="e">
        <f t="shared" si="106"/>
        <v>#REF!</v>
      </c>
    </row>
    <row r="191" spans="1:69" hidden="1" x14ac:dyDescent="0.15"/>
    <row r="192" spans="1:69" hidden="1" x14ac:dyDescent="0.15"/>
    <row r="193" spans="1:69" hidden="1" x14ac:dyDescent="0.15"/>
    <row r="194" spans="1:69" hidden="1" x14ac:dyDescent="0.15"/>
    <row r="195" spans="1:69" s="297" customFormat="1" ht="18" hidden="1" x14ac:dyDescent="0.2">
      <c r="A195" s="264"/>
      <c r="B195" s="292"/>
      <c r="C195" s="292"/>
      <c r="D195" s="293"/>
      <c r="E195" s="294"/>
      <c r="F195" s="294"/>
      <c r="G195" s="294"/>
      <c r="H195" s="294"/>
      <c r="I195" s="295" t="s">
        <v>480</v>
      </c>
      <c r="J195" s="296" t="e">
        <f>J83+J84+J85+J86+J87+J88</f>
        <v>#REF!</v>
      </c>
      <c r="K195" s="296" t="e">
        <f t="shared" ref="K195:X195" si="107">K83+K84+K85+K86+K87+K88</f>
        <v>#REF!</v>
      </c>
      <c r="L195" s="296">
        <f t="shared" si="107"/>
        <v>737834</v>
      </c>
      <c r="M195" s="296">
        <f t="shared" si="107"/>
        <v>260526</v>
      </c>
      <c r="N195" s="296">
        <f t="shared" si="107"/>
        <v>408428</v>
      </c>
      <c r="O195" s="296">
        <f t="shared" si="107"/>
        <v>1406788</v>
      </c>
      <c r="P195" s="296">
        <f t="shared" si="107"/>
        <v>437422</v>
      </c>
      <c r="Q195" s="296">
        <f t="shared" si="107"/>
        <v>238700</v>
      </c>
      <c r="R195" s="296">
        <f t="shared" si="107"/>
        <v>115974</v>
      </c>
      <c r="S195" s="296">
        <f t="shared" si="107"/>
        <v>0</v>
      </c>
      <c r="T195" s="296">
        <f t="shared" si="107"/>
        <v>0</v>
      </c>
      <c r="U195" s="296">
        <f t="shared" si="107"/>
        <v>0</v>
      </c>
      <c r="V195" s="296">
        <f t="shared" si="107"/>
        <v>0</v>
      </c>
      <c r="W195" s="296">
        <f t="shared" si="107"/>
        <v>2198884</v>
      </c>
      <c r="X195" s="296" t="e">
        <f t="shared" si="107"/>
        <v>#REF!</v>
      </c>
      <c r="Y195" s="292"/>
      <c r="Z195" s="292"/>
      <c r="AA195" s="292"/>
      <c r="BI195" s="292"/>
      <c r="BJ195" s="292"/>
      <c r="BL195" s="292"/>
      <c r="BM195" s="292"/>
      <c r="BN195" s="292"/>
      <c r="BO195" s="292"/>
      <c r="BP195" s="292"/>
      <c r="BQ195" s="292"/>
    </row>
    <row r="196" spans="1:69" s="292" customFormat="1" ht="18" hidden="1" x14ac:dyDescent="0.2">
      <c r="A196" s="264"/>
      <c r="D196" s="293"/>
      <c r="E196" s="294"/>
      <c r="F196" s="294"/>
      <c r="G196" s="294"/>
      <c r="H196" s="294"/>
      <c r="I196" s="294"/>
      <c r="J196" s="298"/>
      <c r="O196" s="299"/>
      <c r="X196" s="297"/>
    </row>
    <row r="197" spans="1:69" s="292" customFormat="1" ht="48" hidden="1" x14ac:dyDescent="0.2">
      <c r="A197" s="264"/>
      <c r="D197" s="293"/>
      <c r="E197" s="294"/>
      <c r="F197" s="294"/>
      <c r="G197" s="294"/>
      <c r="H197" s="294"/>
      <c r="I197" s="114"/>
      <c r="J197" s="51" t="s">
        <v>469</v>
      </c>
      <c r="K197" s="51" t="s">
        <v>6</v>
      </c>
      <c r="L197" s="52" t="s">
        <v>7</v>
      </c>
      <c r="M197" s="52" t="s">
        <v>8</v>
      </c>
      <c r="N197" s="52" t="s">
        <v>9</v>
      </c>
      <c r="O197" s="52" t="s">
        <v>470</v>
      </c>
      <c r="P197" s="52" t="s">
        <v>11</v>
      </c>
      <c r="Q197" s="52" t="s">
        <v>12</v>
      </c>
      <c r="R197" s="52" t="s">
        <v>13</v>
      </c>
      <c r="S197" s="52" t="s">
        <v>14</v>
      </c>
      <c r="T197" s="52" t="s">
        <v>15</v>
      </c>
      <c r="U197" s="52" t="s">
        <v>16</v>
      </c>
      <c r="V197" s="51" t="s">
        <v>17</v>
      </c>
      <c r="W197" s="52" t="s">
        <v>471</v>
      </c>
      <c r="X197" s="52" t="s">
        <v>133</v>
      </c>
    </row>
    <row r="198" spans="1:69" s="297" customFormat="1" ht="18" hidden="1" x14ac:dyDescent="0.2">
      <c r="A198" s="264"/>
      <c r="B198" s="292"/>
      <c r="C198" s="292"/>
      <c r="D198" s="293"/>
      <c r="E198" s="294"/>
      <c r="F198" s="294"/>
      <c r="G198" s="294"/>
      <c r="H198" s="294"/>
      <c r="I198" s="295" t="s">
        <v>481</v>
      </c>
      <c r="J198" s="296">
        <f>J83</f>
        <v>0</v>
      </c>
      <c r="K198" s="296">
        <f t="shared" ref="K198:X198" si="108">K83</f>
        <v>64385</v>
      </c>
      <c r="L198" s="296">
        <f t="shared" si="108"/>
        <v>123925</v>
      </c>
      <c r="M198" s="296">
        <f t="shared" si="108"/>
        <v>0</v>
      </c>
      <c r="N198" s="296">
        <f t="shared" si="108"/>
        <v>0</v>
      </c>
      <c r="O198" s="296">
        <f t="shared" si="108"/>
        <v>123925</v>
      </c>
      <c r="P198" s="296">
        <f t="shared" si="108"/>
        <v>0</v>
      </c>
      <c r="Q198" s="296">
        <f t="shared" si="108"/>
        <v>0</v>
      </c>
      <c r="R198" s="296">
        <f t="shared" si="108"/>
        <v>0</v>
      </c>
      <c r="S198" s="296">
        <f t="shared" si="108"/>
        <v>0</v>
      </c>
      <c r="T198" s="296">
        <f t="shared" si="108"/>
        <v>0</v>
      </c>
      <c r="U198" s="296">
        <f t="shared" si="108"/>
        <v>0</v>
      </c>
      <c r="V198" s="296">
        <f t="shared" si="108"/>
        <v>0</v>
      </c>
      <c r="W198" s="296">
        <f t="shared" si="108"/>
        <v>123925</v>
      </c>
      <c r="X198" s="296">
        <f t="shared" si="108"/>
        <v>188310</v>
      </c>
      <c r="Y198" s="292"/>
      <c r="Z198" s="292"/>
      <c r="AA198" s="292"/>
      <c r="BI198" s="292"/>
      <c r="BJ198" s="292"/>
      <c r="BL198" s="292"/>
      <c r="BM198" s="292"/>
      <c r="BN198" s="292"/>
      <c r="BO198" s="292"/>
      <c r="BP198" s="292"/>
      <c r="BQ198" s="292"/>
    </row>
    <row r="199" spans="1:69" s="297" customFormat="1" ht="18" hidden="1" x14ac:dyDescent="0.2">
      <c r="A199" s="264"/>
      <c r="B199" s="292"/>
      <c r="C199" s="292"/>
      <c r="D199" s="293"/>
      <c r="E199" s="294"/>
      <c r="F199" s="294"/>
      <c r="G199" s="294"/>
      <c r="H199" s="294"/>
      <c r="I199" s="295"/>
      <c r="J199" s="296"/>
      <c r="K199" s="296"/>
      <c r="L199" s="296"/>
      <c r="M199" s="296"/>
      <c r="N199" s="296"/>
      <c r="O199" s="296"/>
      <c r="P199" s="296"/>
      <c r="Q199" s="296"/>
      <c r="R199" s="296"/>
      <c r="S199" s="296"/>
      <c r="T199" s="296"/>
      <c r="U199" s="296"/>
      <c r="V199" s="296"/>
      <c r="W199" s="296"/>
      <c r="X199" s="296"/>
      <c r="Y199" s="292"/>
      <c r="Z199" s="292"/>
      <c r="AA199" s="292"/>
      <c r="BI199" s="292"/>
      <c r="BJ199" s="292"/>
      <c r="BL199" s="292"/>
      <c r="BM199" s="292"/>
      <c r="BN199" s="292"/>
      <c r="BO199" s="292"/>
      <c r="BP199" s="292"/>
      <c r="BQ199" s="292"/>
    </row>
    <row r="200" spans="1:69" s="297" customFormat="1" ht="18" hidden="1" x14ac:dyDescent="0.2">
      <c r="A200" s="264"/>
      <c r="B200" s="292"/>
      <c r="C200" s="292"/>
      <c r="D200" s="293"/>
      <c r="E200" s="294"/>
      <c r="F200" s="294"/>
      <c r="G200" s="294"/>
      <c r="H200" s="294"/>
      <c r="I200" s="295" t="s">
        <v>482</v>
      </c>
      <c r="J200" s="296" t="e">
        <f t="shared" ref="J200:X200" si="109">J84</f>
        <v>#REF!</v>
      </c>
      <c r="K200" s="296" t="e">
        <f t="shared" si="109"/>
        <v>#REF!</v>
      </c>
      <c r="L200" s="296">
        <f t="shared" si="109"/>
        <v>8000</v>
      </c>
      <c r="M200" s="296">
        <f t="shared" si="109"/>
        <v>2000</v>
      </c>
      <c r="N200" s="296">
        <f t="shared" si="109"/>
        <v>0</v>
      </c>
      <c r="O200" s="296">
        <f t="shared" si="109"/>
        <v>10000</v>
      </c>
      <c r="P200" s="296">
        <f t="shared" si="109"/>
        <v>20000</v>
      </c>
      <c r="Q200" s="296">
        <f t="shared" si="109"/>
        <v>138000</v>
      </c>
      <c r="R200" s="296">
        <f t="shared" si="109"/>
        <v>103722</v>
      </c>
      <c r="S200" s="296">
        <f t="shared" si="109"/>
        <v>0</v>
      </c>
      <c r="T200" s="296">
        <f t="shared" si="109"/>
        <v>0</v>
      </c>
      <c r="U200" s="296">
        <f t="shared" si="109"/>
        <v>0</v>
      </c>
      <c r="V200" s="296">
        <f t="shared" si="109"/>
        <v>0</v>
      </c>
      <c r="W200" s="296">
        <f t="shared" si="109"/>
        <v>271722</v>
      </c>
      <c r="X200" s="296" t="e">
        <f t="shared" si="109"/>
        <v>#REF!</v>
      </c>
      <c r="Y200" s="292"/>
      <c r="Z200" s="292"/>
      <c r="AA200" s="292"/>
      <c r="BI200" s="292"/>
      <c r="BJ200" s="292"/>
      <c r="BL200" s="292"/>
      <c r="BM200" s="292"/>
      <c r="BN200" s="292"/>
      <c r="BO200" s="292"/>
      <c r="BP200" s="292"/>
      <c r="BQ200" s="292"/>
    </row>
    <row r="201" spans="1:69" s="297" customFormat="1" ht="18" hidden="1" x14ac:dyDescent="0.2">
      <c r="A201" s="264"/>
      <c r="B201" s="292"/>
      <c r="C201" s="292"/>
      <c r="D201" s="293"/>
      <c r="E201" s="294"/>
      <c r="F201" s="294"/>
      <c r="G201" s="294"/>
      <c r="H201" s="294"/>
      <c r="I201" s="295" t="s">
        <v>295</v>
      </c>
      <c r="J201" s="296">
        <f t="shared" ref="J201:X201" si="110">J86</f>
        <v>0</v>
      </c>
      <c r="K201" s="296">
        <f t="shared" si="110"/>
        <v>248</v>
      </c>
      <c r="L201" s="296">
        <f t="shared" si="110"/>
        <v>3100</v>
      </c>
      <c r="M201" s="296">
        <f t="shared" si="110"/>
        <v>4300</v>
      </c>
      <c r="N201" s="296">
        <f t="shared" si="110"/>
        <v>15100</v>
      </c>
      <c r="O201" s="296">
        <f t="shared" si="110"/>
        <v>22500</v>
      </c>
      <c r="P201" s="296">
        <f t="shared" si="110"/>
        <v>25800</v>
      </c>
      <c r="Q201" s="296">
        <f t="shared" si="110"/>
        <v>21200</v>
      </c>
      <c r="R201" s="296">
        <f t="shared" si="110"/>
        <v>12252</v>
      </c>
      <c r="S201" s="296">
        <f t="shared" si="110"/>
        <v>0</v>
      </c>
      <c r="T201" s="296">
        <f t="shared" si="110"/>
        <v>0</v>
      </c>
      <c r="U201" s="296">
        <f t="shared" si="110"/>
        <v>0</v>
      </c>
      <c r="V201" s="296">
        <f t="shared" si="110"/>
        <v>0</v>
      </c>
      <c r="W201" s="296">
        <f t="shared" si="110"/>
        <v>81752</v>
      </c>
      <c r="X201" s="296">
        <f t="shared" si="110"/>
        <v>82000</v>
      </c>
      <c r="Y201" s="292"/>
      <c r="Z201" s="292"/>
      <c r="AA201" s="292"/>
      <c r="BI201" s="292"/>
      <c r="BJ201" s="292"/>
      <c r="BL201" s="292"/>
      <c r="BM201" s="292"/>
      <c r="BN201" s="292"/>
      <c r="BO201" s="292"/>
      <c r="BP201" s="292"/>
      <c r="BQ201" s="292"/>
    </row>
    <row r="202" spans="1:69" s="297" customFormat="1" ht="18" hidden="1" x14ac:dyDescent="0.2">
      <c r="A202" s="264"/>
      <c r="B202" s="292"/>
      <c r="C202" s="292"/>
      <c r="D202" s="293"/>
      <c r="E202" s="294"/>
      <c r="F202" s="294"/>
      <c r="G202" s="294"/>
      <c r="H202" s="294"/>
      <c r="I202" s="295" t="s">
        <v>483</v>
      </c>
      <c r="J202" s="296" t="e">
        <f t="shared" ref="J202:X202" si="111">J85</f>
        <v>#REF!</v>
      </c>
      <c r="K202" s="296" t="e">
        <f t="shared" si="111"/>
        <v>#REF!</v>
      </c>
      <c r="L202" s="296">
        <f t="shared" si="111"/>
        <v>45000</v>
      </c>
      <c r="M202" s="296">
        <f t="shared" si="111"/>
        <v>112500</v>
      </c>
      <c r="N202" s="296">
        <f t="shared" si="111"/>
        <v>262500</v>
      </c>
      <c r="O202" s="296">
        <f t="shared" si="111"/>
        <v>420000</v>
      </c>
      <c r="P202" s="296">
        <f t="shared" si="111"/>
        <v>313000</v>
      </c>
      <c r="Q202" s="296">
        <f t="shared" si="111"/>
        <v>79500</v>
      </c>
      <c r="R202" s="296">
        <f t="shared" si="111"/>
        <v>0</v>
      </c>
      <c r="S202" s="296">
        <f t="shared" si="111"/>
        <v>0</v>
      </c>
      <c r="T202" s="296">
        <f t="shared" si="111"/>
        <v>0</v>
      </c>
      <c r="U202" s="296">
        <f t="shared" si="111"/>
        <v>0</v>
      </c>
      <c r="V202" s="296">
        <f t="shared" si="111"/>
        <v>0</v>
      </c>
      <c r="W202" s="296">
        <f t="shared" si="111"/>
        <v>812500</v>
      </c>
      <c r="X202" s="296" t="e">
        <f t="shared" si="111"/>
        <v>#REF!</v>
      </c>
      <c r="Y202" s="292"/>
      <c r="Z202" s="292"/>
      <c r="AA202" s="292"/>
      <c r="BI202" s="292"/>
      <c r="BJ202" s="292"/>
      <c r="BL202" s="292"/>
      <c r="BM202" s="292"/>
      <c r="BN202" s="292"/>
      <c r="BO202" s="292"/>
      <c r="BP202" s="292"/>
      <c r="BQ202" s="292"/>
    </row>
    <row r="203" spans="1:69" s="299" customFormat="1" ht="18" hidden="1" x14ac:dyDescent="0.2">
      <c r="A203" s="264"/>
      <c r="B203" s="1"/>
      <c r="C203" s="1"/>
      <c r="D203" s="300"/>
      <c r="E203" s="301"/>
      <c r="F203" s="301"/>
      <c r="G203" s="301"/>
      <c r="H203" s="301"/>
      <c r="I203" s="302" t="s">
        <v>484</v>
      </c>
      <c r="J203" s="303" t="e">
        <f>J200+J201+J202</f>
        <v>#REF!</v>
      </c>
      <c r="K203" s="303" t="e">
        <f>K200+K201+K202</f>
        <v>#REF!</v>
      </c>
      <c r="L203" s="303">
        <f t="shared" ref="L203:X203" si="112">L200+L201+L202</f>
        <v>56100</v>
      </c>
      <c r="M203" s="303">
        <f t="shared" si="112"/>
        <v>118800</v>
      </c>
      <c r="N203" s="303">
        <f t="shared" si="112"/>
        <v>277600</v>
      </c>
      <c r="O203" s="303">
        <f t="shared" si="112"/>
        <v>452500</v>
      </c>
      <c r="P203" s="303">
        <f t="shared" si="112"/>
        <v>358800</v>
      </c>
      <c r="Q203" s="303">
        <f t="shared" si="112"/>
        <v>238700</v>
      </c>
      <c r="R203" s="303">
        <f t="shared" si="112"/>
        <v>115974</v>
      </c>
      <c r="S203" s="303">
        <f t="shared" si="112"/>
        <v>0</v>
      </c>
      <c r="T203" s="303">
        <f t="shared" si="112"/>
        <v>0</v>
      </c>
      <c r="U203" s="303">
        <f t="shared" si="112"/>
        <v>0</v>
      </c>
      <c r="V203" s="303">
        <f t="shared" si="112"/>
        <v>0</v>
      </c>
      <c r="W203" s="303">
        <f t="shared" si="112"/>
        <v>1165974</v>
      </c>
      <c r="X203" s="303" t="e">
        <f t="shared" si="112"/>
        <v>#REF!</v>
      </c>
      <c r="Y203" s="1"/>
      <c r="Z203" s="1"/>
      <c r="AA203" s="1"/>
      <c r="BI203" s="1"/>
      <c r="BJ203" s="1"/>
      <c r="BL203" s="1"/>
      <c r="BM203" s="1"/>
      <c r="BN203" s="1"/>
      <c r="BO203" s="1"/>
      <c r="BP203" s="1"/>
      <c r="BQ203" s="1"/>
    </row>
    <row r="204" spans="1:69" s="297" customFormat="1" ht="18" hidden="1" x14ac:dyDescent="0.2">
      <c r="A204" s="264"/>
      <c r="B204" s="292"/>
      <c r="C204" s="292"/>
      <c r="D204" s="293"/>
      <c r="E204" s="294"/>
      <c r="F204" s="294"/>
      <c r="G204" s="294"/>
      <c r="H204" s="294"/>
      <c r="I204" s="295"/>
      <c r="J204" s="296"/>
      <c r="K204" s="296"/>
      <c r="L204" s="296"/>
      <c r="M204" s="296"/>
      <c r="N204" s="296"/>
      <c r="O204" s="296"/>
      <c r="P204" s="296"/>
      <c r="Q204" s="296"/>
      <c r="R204" s="296"/>
      <c r="S204" s="296"/>
      <c r="T204" s="296"/>
      <c r="U204" s="296"/>
      <c r="V204" s="296"/>
      <c r="W204" s="296"/>
      <c r="X204" s="296"/>
      <c r="Y204" s="292"/>
      <c r="Z204" s="292"/>
      <c r="AA204" s="292"/>
      <c r="BI204" s="292"/>
      <c r="BJ204" s="292"/>
      <c r="BL204" s="292"/>
      <c r="BM204" s="292"/>
      <c r="BN204" s="292"/>
      <c r="BO204" s="292"/>
      <c r="BP204" s="292"/>
      <c r="BQ204" s="292"/>
    </row>
    <row r="205" spans="1:69" s="297" customFormat="1" ht="36" hidden="1" x14ac:dyDescent="0.2">
      <c r="A205" s="264"/>
      <c r="B205" s="292"/>
      <c r="C205" s="292"/>
      <c r="D205" s="293"/>
      <c r="E205" s="294"/>
      <c r="F205" s="294"/>
      <c r="G205" s="294"/>
      <c r="H205" s="294"/>
      <c r="I205" s="295" t="s">
        <v>485</v>
      </c>
      <c r="J205" s="296" t="e">
        <f>J87</f>
        <v>#REF!</v>
      </c>
      <c r="K205" s="296" t="e">
        <f t="shared" ref="K205:X205" si="113">K87</f>
        <v>#REF!</v>
      </c>
      <c r="L205" s="296">
        <f t="shared" si="113"/>
        <v>152544</v>
      </c>
      <c r="M205" s="296">
        <f t="shared" si="113"/>
        <v>141726</v>
      </c>
      <c r="N205" s="296">
        <f t="shared" si="113"/>
        <v>130828</v>
      </c>
      <c r="O205" s="296">
        <f t="shared" si="113"/>
        <v>425098</v>
      </c>
      <c r="P205" s="296">
        <f t="shared" si="113"/>
        <v>78622</v>
      </c>
      <c r="Q205" s="296">
        <f t="shared" si="113"/>
        <v>0</v>
      </c>
      <c r="R205" s="296">
        <f t="shared" si="113"/>
        <v>0</v>
      </c>
      <c r="S205" s="296">
        <f t="shared" si="113"/>
        <v>0</v>
      </c>
      <c r="T205" s="296">
        <f t="shared" si="113"/>
        <v>0</v>
      </c>
      <c r="U205" s="296">
        <f t="shared" si="113"/>
        <v>0</v>
      </c>
      <c r="V205" s="296">
        <f t="shared" si="113"/>
        <v>0</v>
      </c>
      <c r="W205" s="296">
        <f t="shared" si="113"/>
        <v>503720</v>
      </c>
      <c r="X205" s="296" t="e">
        <f t="shared" si="113"/>
        <v>#REF!</v>
      </c>
      <c r="Y205" s="292"/>
      <c r="Z205" s="292"/>
      <c r="AA205" s="292"/>
      <c r="BI205" s="292"/>
      <c r="BJ205" s="292"/>
      <c r="BL205" s="292"/>
      <c r="BM205" s="292"/>
      <c r="BN205" s="292"/>
      <c r="BO205" s="292"/>
      <c r="BP205" s="292"/>
      <c r="BQ205" s="292"/>
    </row>
    <row r="206" spans="1:69" s="297" customFormat="1" ht="18" hidden="1" x14ac:dyDescent="0.2">
      <c r="A206" s="264"/>
      <c r="B206" s="292"/>
      <c r="C206" s="292"/>
      <c r="D206" s="293"/>
      <c r="E206" s="294"/>
      <c r="F206" s="294"/>
      <c r="G206" s="294"/>
      <c r="H206" s="294"/>
      <c r="I206" s="295"/>
      <c r="J206" s="296"/>
      <c r="K206" s="296"/>
      <c r="L206" s="296"/>
      <c r="M206" s="296"/>
      <c r="N206" s="296"/>
      <c r="O206" s="296"/>
      <c r="P206" s="296"/>
      <c r="Q206" s="296"/>
      <c r="R206" s="296"/>
      <c r="S206" s="296"/>
      <c r="T206" s="296"/>
      <c r="U206" s="296"/>
      <c r="V206" s="296"/>
      <c r="W206" s="296"/>
      <c r="X206" s="296"/>
      <c r="Y206" s="292"/>
      <c r="Z206" s="292"/>
      <c r="AA206" s="292"/>
      <c r="BI206" s="292"/>
      <c r="BJ206" s="292"/>
      <c r="BL206" s="292"/>
      <c r="BM206" s="292"/>
      <c r="BN206" s="292"/>
      <c r="BO206" s="292"/>
      <c r="BP206" s="292"/>
      <c r="BQ206" s="292"/>
    </row>
    <row r="207" spans="1:69" s="297" customFormat="1" ht="18" hidden="1" x14ac:dyDescent="0.2">
      <c r="A207" s="264"/>
      <c r="B207" s="292"/>
      <c r="C207" s="292"/>
      <c r="D207" s="293"/>
      <c r="E207" s="294"/>
      <c r="F207" s="294"/>
      <c r="G207" s="294"/>
      <c r="H207" s="294"/>
      <c r="I207" s="295" t="s">
        <v>486</v>
      </c>
      <c r="J207" s="296" t="e">
        <f t="shared" ref="J207:X207" si="114">J88</f>
        <v>#REF!</v>
      </c>
      <c r="K207" s="296" t="e">
        <f t="shared" si="114"/>
        <v>#REF!</v>
      </c>
      <c r="L207" s="296">
        <f t="shared" si="114"/>
        <v>405265</v>
      </c>
      <c r="M207" s="296">
        <f t="shared" si="114"/>
        <v>0</v>
      </c>
      <c r="N207" s="296">
        <f t="shared" si="114"/>
        <v>0</v>
      </c>
      <c r="O207" s="296">
        <f t="shared" si="114"/>
        <v>405265</v>
      </c>
      <c r="P207" s="296">
        <f t="shared" si="114"/>
        <v>0</v>
      </c>
      <c r="Q207" s="296">
        <f t="shared" si="114"/>
        <v>0</v>
      </c>
      <c r="R207" s="296">
        <f t="shared" si="114"/>
        <v>0</v>
      </c>
      <c r="S207" s="296">
        <f t="shared" si="114"/>
        <v>0</v>
      </c>
      <c r="T207" s="296">
        <f t="shared" si="114"/>
        <v>0</v>
      </c>
      <c r="U207" s="296">
        <f t="shared" si="114"/>
        <v>0</v>
      </c>
      <c r="V207" s="296">
        <f t="shared" si="114"/>
        <v>0</v>
      </c>
      <c r="W207" s="296">
        <f t="shared" si="114"/>
        <v>405265</v>
      </c>
      <c r="X207" s="296" t="e">
        <f t="shared" si="114"/>
        <v>#REF!</v>
      </c>
      <c r="Y207" s="292"/>
      <c r="Z207" s="292"/>
      <c r="AA207" s="292"/>
      <c r="BI207" s="292"/>
      <c r="BJ207" s="292"/>
      <c r="BL207" s="292"/>
      <c r="BM207" s="292"/>
      <c r="BN207" s="292"/>
      <c r="BO207" s="292"/>
      <c r="BP207" s="292"/>
      <c r="BQ207" s="292"/>
    </row>
    <row r="208" spans="1:69" s="1" customFormat="1" ht="18" hidden="1" x14ac:dyDescent="0.2">
      <c r="A208" s="264"/>
      <c r="D208" s="300"/>
      <c r="E208" s="301"/>
      <c r="F208" s="301"/>
      <c r="G208" s="301"/>
      <c r="H208" s="301"/>
      <c r="I208" s="301"/>
      <c r="J208" s="304" t="e">
        <f>J198+J203+J205+J207</f>
        <v>#REF!</v>
      </c>
      <c r="K208" s="304" t="e">
        <f t="shared" ref="K208:X208" si="115">K198+K203+K205+K207</f>
        <v>#REF!</v>
      </c>
      <c r="L208" s="304">
        <f t="shared" si="115"/>
        <v>737834</v>
      </c>
      <c r="M208" s="304">
        <f t="shared" si="115"/>
        <v>260526</v>
      </c>
      <c r="N208" s="304">
        <f t="shared" si="115"/>
        <v>408428</v>
      </c>
      <c r="O208" s="304">
        <f t="shared" si="115"/>
        <v>1406788</v>
      </c>
      <c r="P208" s="304">
        <f t="shared" si="115"/>
        <v>437422</v>
      </c>
      <c r="Q208" s="304">
        <f t="shared" si="115"/>
        <v>238700</v>
      </c>
      <c r="R208" s="304">
        <f t="shared" si="115"/>
        <v>115974</v>
      </c>
      <c r="S208" s="304">
        <f t="shared" si="115"/>
        <v>0</v>
      </c>
      <c r="T208" s="304">
        <f t="shared" si="115"/>
        <v>0</v>
      </c>
      <c r="U208" s="304">
        <f t="shared" si="115"/>
        <v>0</v>
      </c>
      <c r="V208" s="304">
        <f t="shared" si="115"/>
        <v>0</v>
      </c>
      <c r="W208" s="304">
        <f t="shared" si="115"/>
        <v>2198884</v>
      </c>
      <c r="X208" s="304" t="e">
        <f t="shared" si="115"/>
        <v>#REF!</v>
      </c>
    </row>
    <row r="209" spans="1:24" s="292" customFormat="1" ht="18" hidden="1" x14ac:dyDescent="0.2">
      <c r="A209" s="264"/>
      <c r="D209" s="293"/>
      <c r="E209" s="294"/>
      <c r="F209" s="294"/>
      <c r="G209" s="294"/>
      <c r="H209" s="294"/>
      <c r="I209" s="294"/>
      <c r="J209" s="298"/>
      <c r="O209" s="299"/>
      <c r="X209" s="297"/>
    </row>
    <row r="210" spans="1:24" s="292" customFormat="1" ht="18" hidden="1" x14ac:dyDescent="0.2">
      <c r="A210" s="264"/>
      <c r="D210" s="293"/>
      <c r="E210" s="294"/>
      <c r="F210" s="294"/>
      <c r="G210" s="294"/>
      <c r="H210" s="294"/>
      <c r="I210" s="294"/>
      <c r="J210" s="298" t="e">
        <f>J195-J208</f>
        <v>#REF!</v>
      </c>
      <c r="K210" s="298" t="e">
        <f t="shared" ref="K210:X210" si="116">K195-K208</f>
        <v>#REF!</v>
      </c>
      <c r="L210" s="298">
        <f t="shared" si="116"/>
        <v>0</v>
      </c>
      <c r="M210" s="298">
        <f t="shared" si="116"/>
        <v>0</v>
      </c>
      <c r="N210" s="298">
        <f t="shared" si="116"/>
        <v>0</v>
      </c>
      <c r="O210" s="298">
        <f t="shared" si="116"/>
        <v>0</v>
      </c>
      <c r="P210" s="298">
        <f t="shared" si="116"/>
        <v>0</v>
      </c>
      <c r="Q210" s="298">
        <f t="shared" si="116"/>
        <v>0</v>
      </c>
      <c r="R210" s="298">
        <f t="shared" si="116"/>
        <v>0</v>
      </c>
      <c r="S210" s="298">
        <f t="shared" si="116"/>
        <v>0</v>
      </c>
      <c r="T210" s="298">
        <f t="shared" si="116"/>
        <v>0</v>
      </c>
      <c r="U210" s="298">
        <f t="shared" si="116"/>
        <v>0</v>
      </c>
      <c r="V210" s="298">
        <f t="shared" si="116"/>
        <v>0</v>
      </c>
      <c r="W210" s="298">
        <f t="shared" si="116"/>
        <v>0</v>
      </c>
      <c r="X210" s="298" t="e">
        <f t="shared" si="116"/>
        <v>#REF!</v>
      </c>
    </row>
    <row r="211" spans="1:24" s="292" customFormat="1" ht="18" hidden="1" x14ac:dyDescent="0.2">
      <c r="A211" s="264"/>
      <c r="D211" s="293"/>
      <c r="E211" s="294"/>
      <c r="F211" s="294"/>
      <c r="G211" s="294"/>
      <c r="H211" s="294"/>
      <c r="I211" s="294"/>
      <c r="J211" s="298"/>
      <c r="O211" s="299"/>
      <c r="X211" s="297"/>
    </row>
    <row r="212" spans="1:24" s="292" customFormat="1" ht="18" x14ac:dyDescent="0.2">
      <c r="A212" s="264"/>
      <c r="D212" s="293"/>
      <c r="E212" s="294"/>
      <c r="F212" s="294"/>
      <c r="G212" s="294"/>
      <c r="H212" s="294"/>
      <c r="I212" s="294"/>
      <c r="J212" s="298"/>
      <c r="O212" s="299"/>
      <c r="U212" s="305" t="s">
        <v>487</v>
      </c>
      <c r="V212" s="305" t="s">
        <v>488</v>
      </c>
      <c r="W212" s="306">
        <v>8781596</v>
      </c>
      <c r="X212" s="299" t="s">
        <v>489</v>
      </c>
    </row>
    <row r="213" spans="1:24" s="292" customFormat="1" ht="18" x14ac:dyDescent="0.2">
      <c r="A213" s="264"/>
      <c r="D213" s="293"/>
      <c r="E213" s="294"/>
      <c r="F213" s="294"/>
      <c r="G213" s="294"/>
      <c r="H213" s="294"/>
      <c r="I213" s="294"/>
      <c r="J213" s="298"/>
      <c r="Q213" s="307" t="s">
        <v>490</v>
      </c>
      <c r="R213" s="307" t="s">
        <v>167</v>
      </c>
      <c r="S213" s="307" t="s">
        <v>196</v>
      </c>
      <c r="U213" s="307">
        <v>40000</v>
      </c>
      <c r="V213" s="307">
        <v>720000</v>
      </c>
      <c r="W213" s="307">
        <f>-U213+V213</f>
        <v>680000</v>
      </c>
      <c r="X213" s="1"/>
    </row>
    <row r="214" spans="1:24" ht="16.5" customHeight="1" x14ac:dyDescent="0.2">
      <c r="O214"/>
      <c r="Q214" s="307" t="s">
        <v>491</v>
      </c>
      <c r="R214" s="307" t="s">
        <v>438</v>
      </c>
      <c r="S214" s="307" t="s">
        <v>444</v>
      </c>
      <c r="T214" s="307"/>
      <c r="U214" s="307">
        <v>160000</v>
      </c>
      <c r="V214" s="307">
        <v>135000</v>
      </c>
      <c r="W214" s="307">
        <f t="shared" ref="W214:W216" si="117">-U214+V214</f>
        <v>-25000</v>
      </c>
      <c r="X214" s="4"/>
    </row>
    <row r="215" spans="1:24" ht="16.5" customHeight="1" x14ac:dyDescent="0.2">
      <c r="O215"/>
      <c r="Q215" s="307" t="s">
        <v>492</v>
      </c>
      <c r="R215" s="307" t="s">
        <v>438</v>
      </c>
      <c r="S215" s="307" t="s">
        <v>458</v>
      </c>
      <c r="T215" s="307"/>
      <c r="U215" s="307">
        <v>1470000</v>
      </c>
      <c r="V215" s="307">
        <v>1230000</v>
      </c>
      <c r="W215" s="307">
        <f t="shared" si="117"/>
        <v>-240000</v>
      </c>
      <c r="X215" s="4"/>
    </row>
    <row r="216" spans="1:24" ht="16.5" customHeight="1" x14ac:dyDescent="0.2">
      <c r="O216"/>
      <c r="Q216" s="307" t="s">
        <v>493</v>
      </c>
      <c r="R216" s="307" t="s">
        <v>438</v>
      </c>
      <c r="S216" s="307" t="s">
        <v>462</v>
      </c>
      <c r="T216" s="307"/>
      <c r="U216" s="307">
        <v>45500</v>
      </c>
      <c r="V216" s="307">
        <v>40500</v>
      </c>
      <c r="W216" s="307">
        <f t="shared" si="117"/>
        <v>-5000</v>
      </c>
      <c r="X216" s="4"/>
    </row>
    <row r="217" spans="1:24" ht="16.5" customHeight="1" x14ac:dyDescent="0.2">
      <c r="K217" s="2"/>
      <c r="L217" s="2"/>
      <c r="M217" s="2"/>
      <c r="N217" s="2"/>
      <c r="O217" s="2"/>
      <c r="P217" s="2"/>
      <c r="Q217" s="2"/>
      <c r="R217" s="2"/>
      <c r="S217" s="307"/>
      <c r="T217" s="307"/>
      <c r="U217" s="307"/>
      <c r="V217" s="307"/>
      <c r="W217" s="306">
        <f>SUM(W212:W216)</f>
        <v>9191596</v>
      </c>
      <c r="X217" s="299" t="s">
        <v>494</v>
      </c>
    </row>
    <row r="218" spans="1:24" ht="18" x14ac:dyDescent="0.2">
      <c r="O218"/>
      <c r="W218" s="308">
        <f>W217-W159</f>
        <v>0</v>
      </c>
      <c r="X218" s="158" t="s">
        <v>495</v>
      </c>
    </row>
    <row r="219" spans="1:24" ht="18" x14ac:dyDescent="0.2">
      <c r="K219" s="2"/>
      <c r="L219" s="2"/>
      <c r="M219" s="2"/>
      <c r="N219" s="2"/>
      <c r="O219" s="2"/>
      <c r="P219" s="2"/>
      <c r="Q219" s="2"/>
      <c r="R219" s="2"/>
      <c r="S219" s="2"/>
      <c r="T219" s="2"/>
      <c r="U219" s="2"/>
      <c r="V219" s="2"/>
      <c r="W219" s="307"/>
      <c r="X219" s="2"/>
    </row>
    <row r="220" spans="1:24" ht="18" x14ac:dyDescent="0.2">
      <c r="O220"/>
      <c r="W220" s="307"/>
      <c r="X220"/>
    </row>
    <row r="221" spans="1:24" ht="18" x14ac:dyDescent="0.2">
      <c r="K221" s="2"/>
      <c r="L221" s="2"/>
      <c r="M221" s="2"/>
      <c r="N221" s="2"/>
      <c r="O221" s="2"/>
      <c r="P221" s="2"/>
      <c r="Q221" s="2"/>
      <c r="R221" s="2"/>
      <c r="S221" s="2"/>
      <c r="T221" s="2"/>
      <c r="U221" s="2"/>
      <c r="V221" s="2"/>
      <c r="W221" s="307"/>
      <c r="X221" s="2"/>
    </row>
    <row r="223" spans="1:24" x14ac:dyDescent="0.15">
      <c r="K223" s="2"/>
      <c r="L223" s="2"/>
      <c r="M223" s="2"/>
    </row>
  </sheetData>
  <mergeCells count="36">
    <mergeCell ref="I12:J12"/>
    <mergeCell ref="C1:G1"/>
    <mergeCell ref="I1:J1"/>
    <mergeCell ref="I2:J2"/>
    <mergeCell ref="I3:J3"/>
    <mergeCell ref="I4:J4"/>
    <mergeCell ref="I5:J5"/>
    <mergeCell ref="I6:J6"/>
    <mergeCell ref="I8:J8"/>
    <mergeCell ref="I9:J9"/>
    <mergeCell ref="I10:J10"/>
    <mergeCell ref="I11:J11"/>
    <mergeCell ref="I40:J40"/>
    <mergeCell ref="I15:J15"/>
    <mergeCell ref="I16:J16"/>
    <mergeCell ref="I21:J21"/>
    <mergeCell ref="I23:J23"/>
    <mergeCell ref="I25:J25"/>
    <mergeCell ref="I27:J27"/>
    <mergeCell ref="I30:J30"/>
    <mergeCell ref="I31:J31"/>
    <mergeCell ref="I32:J32"/>
    <mergeCell ref="I33:J33"/>
    <mergeCell ref="I39:J39"/>
    <mergeCell ref="I52:J52"/>
    <mergeCell ref="I41:J41"/>
    <mergeCell ref="I42:J42"/>
    <mergeCell ref="I43:J43"/>
    <mergeCell ref="I44:J44"/>
    <mergeCell ref="I45:J45"/>
    <mergeCell ref="I46:J46"/>
    <mergeCell ref="I47:J47"/>
    <mergeCell ref="I48:J48"/>
    <mergeCell ref="I49:J49"/>
    <mergeCell ref="I50:J50"/>
    <mergeCell ref="I51:J51"/>
  </mergeCells>
  <pageMargins left="0" right="0" top="0.39370078740157483" bottom="0.31496062992125984" header="0.19685039370078741" footer="0.15748031496062992"/>
  <pageSetup paperSize="8" scale="40" fitToHeight="0" orientation="landscape" cellComments="asDisplayed" r:id="rId1"/>
  <headerFooter alignWithMargins="0">
    <oddFooter>&amp;L&amp;F/&amp;D</oddFooter>
  </headerFooter>
  <rowBreaks count="1" manualBreakCount="1">
    <brk id="52" max="16383" man="1"/>
  </rowBreaks>
  <colBreaks count="1" manualBreakCount="1">
    <brk id="2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heetPr>
  <dimension ref="A1:BR172"/>
  <sheetViews>
    <sheetView tabSelected="1" zoomScale="90" zoomScaleNormal="90" zoomScalePageLayoutView="90" workbookViewId="0">
      <pane xSplit="6" ySplit="1" topLeftCell="G16" activePane="bottomRight" state="frozen"/>
      <selection pane="topRight" activeCell="F1" sqref="F1"/>
      <selection pane="bottomLeft" activeCell="A2" sqref="A2"/>
      <selection pane="bottomRight" activeCell="C37" sqref="C37"/>
    </sheetView>
  </sheetViews>
  <sheetFormatPr baseColWidth="10" defaultColWidth="8.83203125" defaultRowHeight="13" outlineLevelRow="2" outlineLevelCol="1" x14ac:dyDescent="0.15"/>
  <cols>
    <col min="1" max="1" width="8.83203125" style="57"/>
    <col min="2" max="2" width="10.33203125" customWidth="1"/>
    <col min="3" max="3" width="25.33203125" customWidth="1" outlineLevel="1"/>
    <col min="4" max="4" width="15.5" style="76" hidden="1" customWidth="1" outlineLevel="1"/>
    <col min="5" max="5" width="32.5" style="34" hidden="1" customWidth="1" outlineLevel="1"/>
    <col min="6" max="6" width="10.5" style="34" hidden="1" customWidth="1"/>
    <col min="7" max="7" width="30.33203125" style="34" hidden="1" customWidth="1"/>
    <col min="8" max="8" width="10" style="34" hidden="1" customWidth="1"/>
    <col min="9" max="9" width="21.33203125" style="34" customWidth="1"/>
    <col min="10" max="10" width="16.5" style="154" customWidth="1"/>
    <col min="11" max="11" width="14.6640625" customWidth="1"/>
    <col min="12" max="14" width="15.6640625" customWidth="1"/>
    <col min="15" max="15" width="18.5" style="42" customWidth="1"/>
    <col min="16" max="22" width="15.6640625" customWidth="1"/>
    <col min="23" max="23" width="22" customWidth="1"/>
    <col min="24" max="24" width="20.33203125" style="158" customWidth="1"/>
    <col min="25" max="25" width="17.5" hidden="1" customWidth="1"/>
    <col min="26" max="26" width="15.1640625" customWidth="1"/>
    <col min="27" max="27" width="23.33203125" hidden="1" customWidth="1"/>
    <col min="28" max="28" width="18" hidden="1" customWidth="1"/>
    <col min="29" max="29" width="13.83203125" hidden="1" customWidth="1"/>
    <col min="30" max="30" width="13.5" hidden="1" customWidth="1"/>
    <col min="31" max="31" width="14.6640625" hidden="1" customWidth="1"/>
    <col min="32" max="33" width="14.33203125" hidden="1" customWidth="1"/>
    <col min="34" max="34" width="12.83203125" hidden="1" customWidth="1"/>
    <col min="35" max="35" width="14.83203125" hidden="1" customWidth="1"/>
    <col min="36" max="36" width="14.33203125" hidden="1" customWidth="1"/>
    <col min="37" max="37" width="12.5" hidden="1" customWidth="1"/>
    <col min="38" max="38" width="20.83203125" hidden="1" customWidth="1"/>
    <col min="39" max="39" width="12.5" hidden="1" customWidth="1"/>
    <col min="40" max="40" width="14.33203125" hidden="1" customWidth="1"/>
    <col min="41" max="41" width="15" hidden="1" customWidth="1"/>
    <col min="42" max="42" width="14.6640625" hidden="1" customWidth="1"/>
    <col min="43" max="47" width="15" hidden="1" customWidth="1"/>
    <col min="48" max="49" width="16" hidden="1" customWidth="1"/>
    <col min="50" max="53" width="11.6640625" hidden="1" customWidth="1"/>
    <col min="54" max="54" width="13.1640625" hidden="1" customWidth="1"/>
    <col min="55" max="60" width="11.6640625" hidden="1" customWidth="1"/>
    <col min="61" max="62" width="5.1640625" style="3" customWidth="1"/>
    <col min="64" max="65" width="5.1640625" customWidth="1"/>
    <col min="66" max="66" width="4.6640625" customWidth="1"/>
    <col min="67" max="67" width="5.1640625" customWidth="1"/>
    <col min="68" max="68" width="5.5" customWidth="1"/>
    <col min="69" max="69" width="10.33203125" bestFit="1" customWidth="1"/>
    <col min="70" max="70" width="9.5" bestFit="1" customWidth="1"/>
  </cols>
  <sheetData>
    <row r="1" spans="1:65" s="8" customFormat="1" ht="48" hidden="1" x14ac:dyDescent="0.2">
      <c r="A1" s="49"/>
      <c r="C1" s="395" t="s">
        <v>131</v>
      </c>
      <c r="D1" s="396"/>
      <c r="E1" s="396"/>
      <c r="F1" s="396"/>
      <c r="G1" s="396"/>
      <c r="H1" s="50"/>
      <c r="I1" s="397"/>
      <c r="J1" s="382"/>
      <c r="K1" s="51" t="s">
        <v>6</v>
      </c>
      <c r="L1" s="52" t="s">
        <v>7</v>
      </c>
      <c r="M1" s="52" t="s">
        <v>8</v>
      </c>
      <c r="N1" s="52" t="s">
        <v>9</v>
      </c>
      <c r="O1" s="52" t="s">
        <v>10</v>
      </c>
      <c r="P1" s="52" t="s">
        <v>11</v>
      </c>
      <c r="Q1" s="52" t="s">
        <v>12</v>
      </c>
      <c r="R1" s="52" t="s">
        <v>13</v>
      </c>
      <c r="S1" s="53" t="s">
        <v>14</v>
      </c>
      <c r="T1" s="52" t="s">
        <v>15</v>
      </c>
      <c r="U1" s="52" t="s">
        <v>16</v>
      </c>
      <c r="V1" s="51" t="s">
        <v>17</v>
      </c>
      <c r="W1" s="52" t="s">
        <v>132</v>
      </c>
      <c r="X1" s="52" t="s">
        <v>133</v>
      </c>
      <c r="Y1" s="52" t="s">
        <v>5</v>
      </c>
      <c r="Z1" s="52" t="s">
        <v>134</v>
      </c>
      <c r="AA1" s="52" t="s">
        <v>135</v>
      </c>
      <c r="AB1" s="54" t="s">
        <v>136</v>
      </c>
      <c r="AC1" s="55" t="s">
        <v>78</v>
      </c>
      <c r="AD1" s="55" t="s">
        <v>79</v>
      </c>
      <c r="AE1" s="55" t="s">
        <v>80</v>
      </c>
      <c r="AF1" s="55" t="s">
        <v>81</v>
      </c>
      <c r="AG1" s="55" t="s">
        <v>82</v>
      </c>
      <c r="AH1" s="55" t="s">
        <v>83</v>
      </c>
      <c r="AI1" s="55" t="s">
        <v>84</v>
      </c>
      <c r="AJ1" s="55" t="s">
        <v>85</v>
      </c>
      <c r="AK1" s="55" t="s">
        <v>86</v>
      </c>
      <c r="AL1" s="55" t="s">
        <v>87</v>
      </c>
      <c r="AM1" s="54" t="s">
        <v>88</v>
      </c>
      <c r="AN1" s="54" t="s">
        <v>89</v>
      </c>
      <c r="AO1" s="54" t="s">
        <v>90</v>
      </c>
      <c r="AP1" s="54" t="s">
        <v>91</v>
      </c>
      <c r="AQ1" s="54" t="s">
        <v>92</v>
      </c>
      <c r="AR1" s="54" t="s">
        <v>93</v>
      </c>
      <c r="AS1" s="54" t="s">
        <v>94</v>
      </c>
      <c r="AT1" s="54" t="s">
        <v>95</v>
      </c>
      <c r="AU1" s="54" t="s">
        <v>96</v>
      </c>
      <c r="AV1" s="54" t="s">
        <v>97</v>
      </c>
      <c r="AW1" s="54" t="s">
        <v>98</v>
      </c>
      <c r="AX1" s="56" t="s">
        <v>137</v>
      </c>
      <c r="AY1" s="56" t="s">
        <v>138</v>
      </c>
      <c r="AZ1" s="56" t="s">
        <v>139</v>
      </c>
      <c r="BA1" s="56" t="s">
        <v>140</v>
      </c>
      <c r="BB1" s="56" t="s">
        <v>141</v>
      </c>
      <c r="BC1" s="56" t="s">
        <v>142</v>
      </c>
      <c r="BD1" s="56" t="s">
        <v>143</v>
      </c>
      <c r="BE1" s="56" t="s">
        <v>144</v>
      </c>
      <c r="BF1" s="56" t="s">
        <v>145</v>
      </c>
      <c r="BG1" s="56" t="s">
        <v>146</v>
      </c>
      <c r="BH1" s="56" t="s">
        <v>147</v>
      </c>
    </row>
    <row r="2" spans="1:65" ht="15.75" hidden="1" customHeight="1" x14ac:dyDescent="0.2">
      <c r="D2" s="58"/>
      <c r="H2" s="59"/>
      <c r="I2" s="393" t="s">
        <v>21</v>
      </c>
      <c r="J2" s="394"/>
      <c r="K2" s="60" t="e">
        <f>K50+K51+K55+K56+K57+K58+K59+K63+K64+K81+K89</f>
        <v>#REF!</v>
      </c>
      <c r="L2" s="60">
        <f>L50+L51+L55+L56+L57+L58+L59+L63+L64+L81+L89</f>
        <v>1013734</v>
      </c>
      <c r="M2" s="60">
        <f t="shared" ref="M2:X2" si="0">M50+M51+M55+M56+M57+M58+M59+M63+M64+M81+M89</f>
        <v>570106</v>
      </c>
      <c r="N2" s="60">
        <f t="shared" si="0"/>
        <v>230177</v>
      </c>
      <c r="O2" s="61">
        <f t="shared" si="0"/>
        <v>1814017</v>
      </c>
      <c r="P2" s="60">
        <f t="shared" si="0"/>
        <v>113622</v>
      </c>
      <c r="Q2" s="60">
        <f t="shared" si="0"/>
        <v>43000</v>
      </c>
      <c r="R2" s="60">
        <f t="shared" si="0"/>
        <v>5000</v>
      </c>
      <c r="S2" s="60">
        <f t="shared" si="0"/>
        <v>5000</v>
      </c>
      <c r="T2" s="60">
        <f t="shared" si="0"/>
        <v>5000</v>
      </c>
      <c r="U2" s="60">
        <f t="shared" si="0"/>
        <v>5000</v>
      </c>
      <c r="V2" s="60">
        <f t="shared" si="0"/>
        <v>0</v>
      </c>
      <c r="W2" s="61">
        <f t="shared" si="0"/>
        <v>1990639</v>
      </c>
      <c r="X2" s="60" t="e">
        <f t="shared" si="0"/>
        <v>#REF!</v>
      </c>
      <c r="Y2" s="60"/>
      <c r="Z2" s="60"/>
      <c r="AA2" s="60"/>
      <c r="AB2" s="62">
        <f t="shared" ref="AB2:BH2" si="1">AB45++AB50+AB51+AB55+AB56+AB57+AB58+AB59+AB63+AB64+AB81+AB89</f>
        <v>0</v>
      </c>
      <c r="AC2" s="63" t="e">
        <f t="shared" si="1"/>
        <v>#REF!</v>
      </c>
      <c r="AD2" s="63" t="e">
        <f t="shared" si="1"/>
        <v>#REF!</v>
      </c>
      <c r="AE2" s="63" t="e">
        <f t="shared" si="1"/>
        <v>#REF!</v>
      </c>
      <c r="AF2" s="63" t="e">
        <f t="shared" si="1"/>
        <v>#REF!</v>
      </c>
      <c r="AG2" s="63" t="e">
        <f t="shared" si="1"/>
        <v>#REF!</v>
      </c>
      <c r="AH2" s="63" t="e">
        <f t="shared" si="1"/>
        <v>#REF!</v>
      </c>
      <c r="AI2" s="63" t="e">
        <f t="shared" si="1"/>
        <v>#REF!</v>
      </c>
      <c r="AJ2" s="63" t="e">
        <f t="shared" si="1"/>
        <v>#REF!</v>
      </c>
      <c r="AK2" s="63" t="e">
        <f t="shared" si="1"/>
        <v>#REF!</v>
      </c>
      <c r="AL2" s="63" t="e">
        <f t="shared" si="1"/>
        <v>#REF!</v>
      </c>
      <c r="AM2" s="62">
        <f t="shared" si="1"/>
        <v>0</v>
      </c>
      <c r="AN2" s="64" t="e">
        <f t="shared" si="1"/>
        <v>#REF!</v>
      </c>
      <c r="AO2" s="64" t="e">
        <f t="shared" si="1"/>
        <v>#REF!</v>
      </c>
      <c r="AP2" s="64" t="e">
        <f t="shared" si="1"/>
        <v>#REF!</v>
      </c>
      <c r="AQ2" s="64" t="e">
        <f t="shared" si="1"/>
        <v>#REF!</v>
      </c>
      <c r="AR2" s="64" t="e">
        <f t="shared" si="1"/>
        <v>#REF!</v>
      </c>
      <c r="AS2" s="64" t="e">
        <f t="shared" si="1"/>
        <v>#REF!</v>
      </c>
      <c r="AT2" s="64" t="e">
        <f t="shared" si="1"/>
        <v>#REF!</v>
      </c>
      <c r="AU2" s="64" t="e">
        <f t="shared" si="1"/>
        <v>#REF!</v>
      </c>
      <c r="AV2" s="64" t="e">
        <f t="shared" si="1"/>
        <v>#REF!</v>
      </c>
      <c r="AW2" s="64" t="e">
        <f t="shared" si="1"/>
        <v>#REF!</v>
      </c>
      <c r="AX2" s="65">
        <f t="shared" si="1"/>
        <v>0</v>
      </c>
      <c r="AY2" s="65">
        <f t="shared" si="1"/>
        <v>0</v>
      </c>
      <c r="AZ2" s="65">
        <f t="shared" si="1"/>
        <v>11748</v>
      </c>
      <c r="BA2" s="65">
        <f t="shared" si="1"/>
        <v>0</v>
      </c>
      <c r="BB2" s="65">
        <f t="shared" si="1"/>
        <v>9089</v>
      </c>
      <c r="BC2" s="65">
        <f t="shared" si="1"/>
        <v>0</v>
      </c>
      <c r="BD2" s="65">
        <f t="shared" si="1"/>
        <v>0</v>
      </c>
      <c r="BE2" s="65">
        <f t="shared" si="1"/>
        <v>0</v>
      </c>
      <c r="BF2" s="65">
        <f t="shared" si="1"/>
        <v>0</v>
      </c>
      <c r="BG2" s="65">
        <f t="shared" si="1"/>
        <v>0</v>
      </c>
      <c r="BH2" s="65">
        <f t="shared" si="1"/>
        <v>0</v>
      </c>
      <c r="BJ2" s="66"/>
      <c r="BL2" s="67"/>
      <c r="BM2" s="34"/>
    </row>
    <row r="3" spans="1:65" ht="15.75" hidden="1" customHeight="1" x14ac:dyDescent="0.2">
      <c r="D3" s="58"/>
      <c r="H3" s="59"/>
      <c r="I3" s="393" t="s">
        <v>24</v>
      </c>
      <c r="J3" s="394"/>
      <c r="K3" s="60" t="e">
        <f>'inv plan efter år 2024'!K20+K49+K52+K60+K61+K62+K68+K71+K72+K80+K88+K45</f>
        <v>#REF!</v>
      </c>
      <c r="L3" s="60">
        <f>'inv plan efter år 2024'!L20+L49+L52+L60+L61+L62+L68+L71+L72+L80+L88+L45</f>
        <v>224100</v>
      </c>
      <c r="M3" s="60">
        <f>'inv plan efter år 2024'!M20+M49+M52+M60+M61+M62+M68+M71+M72+M80+M88+M45</f>
        <v>256800</v>
      </c>
      <c r="N3" s="60">
        <f>'inv plan efter år 2024'!N20+N49+N52+N60+N61+N62+N68+N71+N72+N80+N88+N45</f>
        <v>397600</v>
      </c>
      <c r="O3" s="61">
        <f>'inv plan efter år 2024'!O20+O49+O52+O60+O61+O62+O68+O71+O72+O80+O88+O45</f>
        <v>878500</v>
      </c>
      <c r="P3" s="60">
        <f>'inv plan efter år 2024'!P20+P49+P52+P60+P61+P62+P68+P71+P72+P80+P88+P45</f>
        <v>483800</v>
      </c>
      <c r="Q3" s="60">
        <f>'inv plan efter år 2024'!Q20+Q49+Q52+Q60+Q61+Q62+Q68+Q71+Q72+Q80+Q88+Q45</f>
        <v>378700</v>
      </c>
      <c r="R3" s="60">
        <f>'inv plan efter år 2024'!R20+R49+R52+R60+R61+R62+R68+R71+R72+R80+R88+R45</f>
        <v>285974</v>
      </c>
      <c r="S3" s="60">
        <f>'inv plan efter år 2024'!S20+S49+S52+S60+S61+S62+S68+S71+S72+S80+S88+S45</f>
        <v>45000</v>
      </c>
      <c r="T3" s="60">
        <f>'inv plan efter år 2024'!T20+T49+T52+T60+T61+T62+T68+T71+T72+T80+T88+T45</f>
        <v>30000</v>
      </c>
      <c r="U3" s="60">
        <f>'inv plan efter år 2024'!U20+U49+U52+U60+U61+U62+U68+U71+U72+U80+U88+U45</f>
        <v>0</v>
      </c>
      <c r="V3" s="60">
        <f>'inv plan efter år 2024'!V20+V49+V52+V60+V61+V62+V68+V71+V72+V80+V88+V45</f>
        <v>0</v>
      </c>
      <c r="W3" s="61">
        <f>'inv plan efter år 2024'!W20+W49+W52+W60+W61+W62+W68+W71+W72+W80+W88+W45</f>
        <v>2101974</v>
      </c>
      <c r="X3" s="60" t="e">
        <f>'inv plan efter år 2024'!X20+X49+X52+X60+X61+X62+X68+X71+X72+X80+X88+X45</f>
        <v>#REF!</v>
      </c>
      <c r="Y3" s="60"/>
      <c r="Z3" s="60"/>
      <c r="AA3" s="60"/>
      <c r="AB3" s="62" t="e">
        <f>#REF!+'inv plan efter år 2024'!AB20+AB49+'inv plan efter år 2024'!AB21+AB52+'inv plan efter år 2024'!AB28+AB60+AB61+AB62+AB68+AB71+AB72+AB80+'inv plan efter år 2024'!AB63+AB88+'inv plan efter år 2024'!AB66+'inv plan efter år 2024'!AB62+'inv plan efter år 2024'!AB64</f>
        <v>#REF!</v>
      </c>
      <c r="AC3" s="63" t="e">
        <f>#REF!+'inv plan efter år 2024'!AC20+AC49+'inv plan efter år 2024'!AC21+AC52+'inv plan efter år 2024'!AC28+AC60+AC61+AC62+AC68+AC71+AC72+AC80+'inv plan efter år 2024'!AC63+AC88+'inv plan efter år 2024'!AC66+'inv plan efter år 2024'!AC62+'inv plan efter år 2024'!AC64</f>
        <v>#REF!</v>
      </c>
      <c r="AD3" s="63" t="e">
        <f>#REF!+'inv plan efter år 2024'!AD20+AD49+'inv plan efter år 2024'!AD21+AD52+'inv plan efter år 2024'!AD28+AD60+AD61+AD62+AD68+AD71+AD72+AD80+'inv plan efter år 2024'!AD63+AD88+'inv plan efter år 2024'!AD66+'inv plan efter år 2024'!AD62+'inv plan efter år 2024'!AD64</f>
        <v>#REF!</v>
      </c>
      <c r="AE3" s="63" t="e">
        <f>#REF!+'inv plan efter år 2024'!AE20+AE49+'inv plan efter år 2024'!AE21+AE52+'inv plan efter år 2024'!AE28+AE60+AE61+AE62+AE68+AE71+AE72+AE80+'inv plan efter år 2024'!AE63+AE88+'inv plan efter år 2024'!AE66+'inv plan efter år 2024'!AE62+'inv plan efter år 2024'!AE64</f>
        <v>#REF!</v>
      </c>
      <c r="AF3" s="63" t="e">
        <f>#REF!+'inv plan efter år 2024'!AF20+AF49+'inv plan efter år 2024'!AF21+AF52+'inv plan efter år 2024'!AF28+AF60+AF61+AF62+AF68+AF71+AF72+AF80+'inv plan efter år 2024'!AF63+AF88+'inv plan efter år 2024'!AF66+'inv plan efter år 2024'!AF62+'inv plan efter år 2024'!AF64</f>
        <v>#REF!</v>
      </c>
      <c r="AG3" s="63" t="e">
        <f>#REF!+'inv plan efter år 2024'!AG20+AG49+'inv plan efter år 2024'!AG21+AG52+'inv plan efter år 2024'!AG28+AG60+AG61+AG62+AG68+AG71+AG72+AG80+'inv plan efter år 2024'!AG63+AG88+'inv plan efter år 2024'!AG66+'inv plan efter år 2024'!AG62+'inv plan efter år 2024'!AG64</f>
        <v>#REF!</v>
      </c>
      <c r="AH3" s="63" t="e">
        <f>#REF!+'inv plan efter år 2024'!AH20+AH49+'inv plan efter år 2024'!AH21+AH52+'inv plan efter år 2024'!AH28+AH60+AH61+AH62+AH68+AH71+AH72+AH80+'inv plan efter år 2024'!AH63+AH88+'inv plan efter år 2024'!AH66+'inv plan efter år 2024'!AH62+'inv plan efter år 2024'!AH64</f>
        <v>#REF!</v>
      </c>
      <c r="AI3" s="63" t="e">
        <f>#REF!+'inv plan efter år 2024'!AI20+AI49+'inv plan efter år 2024'!AI21+AI52+'inv plan efter år 2024'!AI28+AI60+AI61+AI62+AI68+AI71+AI72+AI80+'inv plan efter år 2024'!AI63+AI88+'inv plan efter år 2024'!AI66+'inv plan efter år 2024'!AI62+'inv plan efter år 2024'!AI64</f>
        <v>#REF!</v>
      </c>
      <c r="AJ3" s="63" t="e">
        <f>#REF!+'inv plan efter år 2024'!AJ20+AJ49+'inv plan efter år 2024'!AJ21+AJ52+'inv plan efter år 2024'!AJ28+AJ60+AJ61+AJ62+AJ68+AJ71+AJ72+AJ80+'inv plan efter år 2024'!AJ63+AJ88+'inv plan efter år 2024'!AJ66+'inv plan efter år 2024'!AJ62+'inv plan efter år 2024'!AJ64</f>
        <v>#REF!</v>
      </c>
      <c r="AK3" s="63" t="e">
        <f>#REF!+'inv plan efter år 2024'!AK20+AK49+'inv plan efter år 2024'!AK21+AK52+'inv plan efter år 2024'!AK28+AK60+AK61+AK62+AK68+AK71+AK72+AK80+'inv plan efter år 2024'!AK63+AK88+'inv plan efter år 2024'!AK66+'inv plan efter år 2024'!AK62+'inv plan efter år 2024'!AK64</f>
        <v>#REF!</v>
      </c>
      <c r="AL3" s="63" t="e">
        <f>#REF!+'inv plan efter år 2024'!AL20+AL49+'inv plan efter år 2024'!AL21+AL52+'inv plan efter år 2024'!AL28+AL60+AL61+AL62+AL68+AL71+AL72+AL80+'inv plan efter år 2024'!AL63+AL88+'inv plan efter år 2024'!AL66+'inv plan efter år 2024'!AL62+'inv plan efter år 2024'!AL64</f>
        <v>#REF!</v>
      </c>
      <c r="AM3" s="62" t="e">
        <f>#REF!+'inv plan efter år 2024'!AM20+AM49+'inv plan efter år 2024'!AM21+AM52+'inv plan efter år 2024'!AM28+AM60+AM61+AM62+AM68+AM71+AM72+AM80+'inv plan efter år 2024'!AM63+AM88+'inv plan efter år 2024'!AM66+'inv plan efter år 2024'!AM62+'inv plan efter år 2024'!AM64</f>
        <v>#REF!</v>
      </c>
      <c r="AN3" s="64" t="e">
        <f>#REF!+'inv plan efter år 2024'!AN20+AN49+'inv plan efter år 2024'!AN21+AN52+'inv plan efter år 2024'!AN28+AN60+AN61+AN62+AN68+AN71+AN72+AN80+'inv plan efter år 2024'!AN63+AN88+'inv plan efter år 2024'!AN66+'inv plan efter år 2024'!AN62+'inv plan efter år 2024'!AN64</f>
        <v>#REF!</v>
      </c>
      <c r="AO3" s="64" t="e">
        <f>#REF!+'inv plan efter år 2024'!AO20+AO49+'inv plan efter år 2024'!AO21+AO52+'inv plan efter år 2024'!AO28+AO60+AO61+AO62+AO68+AO71+AO72+AO80+'inv plan efter år 2024'!AO63+AO88+'inv plan efter år 2024'!AO66+'inv plan efter år 2024'!AO62+'inv plan efter år 2024'!AO64</f>
        <v>#REF!</v>
      </c>
      <c r="AP3" s="64" t="e">
        <f>#REF!+'inv plan efter år 2024'!AP20+AP49+'inv plan efter år 2024'!AP21+AP52+'inv plan efter år 2024'!AP28+AP60+AP61+AP62+AP68+AP71+AP72+AP80+'inv plan efter år 2024'!AP63+AP88+'inv plan efter år 2024'!AP66+'inv plan efter år 2024'!AP62+'inv plan efter år 2024'!AP64</f>
        <v>#REF!</v>
      </c>
      <c r="AQ3" s="64" t="e">
        <f>#REF!+'inv plan efter år 2024'!AQ20+AQ49+'inv plan efter år 2024'!AQ21+AQ52+'inv plan efter år 2024'!AQ28+AQ60+AQ61+AQ62+AQ68+AQ71+AQ72+AQ80+'inv plan efter år 2024'!AQ63+AQ88+'inv plan efter år 2024'!AQ66+'inv plan efter år 2024'!AQ62+'inv plan efter år 2024'!AQ64</f>
        <v>#REF!</v>
      </c>
      <c r="AR3" s="64" t="e">
        <f>#REF!+'inv plan efter år 2024'!AR20+AR49+'inv plan efter år 2024'!AR21+AR52+'inv plan efter år 2024'!AR28+AR60+AR61+AR62+AR68+AR71+AR72+AR80+'inv plan efter år 2024'!AR63+AR88+'inv plan efter år 2024'!AR66+'inv plan efter år 2024'!AR62+'inv plan efter år 2024'!AR64</f>
        <v>#REF!</v>
      </c>
      <c r="AS3" s="64" t="e">
        <f>#REF!+'inv plan efter år 2024'!AS20+AS49+'inv plan efter år 2024'!AS21+AS52+'inv plan efter år 2024'!AS28+AS60+AS61+AS62+AS68+AS71+AS72+AS80+'inv plan efter år 2024'!AS63+AS88+'inv plan efter år 2024'!AS66+'inv plan efter år 2024'!AS62+'inv plan efter år 2024'!AS64</f>
        <v>#REF!</v>
      </c>
      <c r="AT3" s="64" t="e">
        <f>#REF!+'inv plan efter år 2024'!AT20+AT49+'inv plan efter år 2024'!AT21+AT52+'inv plan efter år 2024'!AT28+AT60+AT61+AT62+AT68+AT71+AT72+AT80+'inv plan efter år 2024'!AT63+AT88+'inv plan efter år 2024'!AT66+'inv plan efter år 2024'!AT62+'inv plan efter år 2024'!AT64</f>
        <v>#REF!</v>
      </c>
      <c r="AU3" s="64" t="e">
        <f>#REF!+'inv plan efter år 2024'!AU20+AU49+'inv plan efter år 2024'!AU21+AU52+'inv plan efter år 2024'!AU28+AU60+AU61+AU62+AU68+AU71+AU72+AU80+'inv plan efter år 2024'!AU63+AU88+'inv plan efter år 2024'!AU66+'inv plan efter år 2024'!AU62+'inv plan efter år 2024'!AU64</f>
        <v>#REF!</v>
      </c>
      <c r="AV3" s="64" t="e">
        <f>#REF!+'inv plan efter år 2024'!AV20+AV49+'inv plan efter år 2024'!AV21+AV52+'inv plan efter år 2024'!AV28+AV60+AV61+AV62+AV68+AV71+AV72+AV80+'inv plan efter år 2024'!AV63+AV88+'inv plan efter år 2024'!AV66+'inv plan efter år 2024'!AV62+'inv plan efter år 2024'!AV64</f>
        <v>#REF!</v>
      </c>
      <c r="AW3" s="64" t="e">
        <f>#REF!+'inv plan efter år 2024'!AW20+AW49+'inv plan efter år 2024'!AW21+AW52+'inv plan efter år 2024'!AW28+AW60+AW61+AW62+AW68+AW71+AW72+AW80+'inv plan efter år 2024'!AW63+AW88+'inv plan efter år 2024'!AW66+'inv plan efter år 2024'!AW62+'inv plan efter år 2024'!AW64</f>
        <v>#REF!</v>
      </c>
      <c r="AX3" s="65" t="e">
        <f>#REF!+'inv plan efter år 2024'!AX20+AX49+'inv plan efter år 2024'!AX21+AX52+'inv plan efter år 2024'!AX28+AX60+AX61+AX62+AX68+AX71+AX72+AX80+'inv plan efter år 2024'!AX63+AX88+'inv plan efter år 2024'!AX66+'inv plan efter år 2024'!AX62+'inv plan efter år 2024'!AX64</f>
        <v>#REF!</v>
      </c>
      <c r="AY3" s="65" t="e">
        <f>#REF!+'inv plan efter år 2024'!AY20+AY49+'inv plan efter år 2024'!AY21+AY52+'inv plan efter år 2024'!AY28+AY60+AY61+AY62+AY68+AY71+AY72+AY80+'inv plan efter år 2024'!AY63+AY88+'inv plan efter år 2024'!AY66+'inv plan efter år 2024'!AY62+'inv plan efter år 2024'!AY64</f>
        <v>#REF!</v>
      </c>
      <c r="AZ3" s="65" t="e">
        <f>#REF!+'inv plan efter år 2024'!AZ20+AZ49+'inv plan efter år 2024'!AZ21+AZ52+'inv plan efter år 2024'!AZ28+AZ60+AZ61+AZ62+AZ68+AZ71+AZ72+AZ80+'inv plan efter år 2024'!AZ63+AZ88+'inv plan efter år 2024'!AZ66+'inv plan efter år 2024'!AZ62+'inv plan efter år 2024'!AZ64</f>
        <v>#REF!</v>
      </c>
      <c r="BA3" s="65" t="e">
        <f>#REF!+'inv plan efter år 2024'!BA20+BA49+'inv plan efter år 2024'!BA21+BA52+'inv plan efter år 2024'!BA28+BA60+BA61+BA62+BA68+BA71+BA72+BA80+'inv plan efter år 2024'!BA63+BA88+'inv plan efter år 2024'!BA66+'inv plan efter år 2024'!BA62+'inv plan efter år 2024'!BA64</f>
        <v>#REF!</v>
      </c>
      <c r="BB3" s="65" t="e">
        <f>#REF!+'inv plan efter år 2024'!BB20+BB49+'inv plan efter år 2024'!BB21+BB52+'inv plan efter år 2024'!BB28+BB60+BB61+BB62+BB68+BB71+BB72+BB80+'inv plan efter år 2024'!BB63+BB88+'inv plan efter år 2024'!BB66+'inv plan efter år 2024'!BB62+'inv plan efter år 2024'!BB64</f>
        <v>#REF!</v>
      </c>
      <c r="BC3" s="65" t="e">
        <f>#REF!+'inv plan efter år 2024'!BC20+BC49+'inv plan efter år 2024'!BC21+BC52+'inv plan efter år 2024'!BC28+BC60+BC61+BC62+BC68+BC71+BC72+BC80+'inv plan efter år 2024'!BC63+BC88+'inv plan efter år 2024'!BC66+'inv plan efter år 2024'!BC62+'inv plan efter år 2024'!BC64</f>
        <v>#REF!</v>
      </c>
      <c r="BD3" s="65" t="e">
        <f>#REF!+'inv plan efter år 2024'!BD20+BD49+'inv plan efter år 2024'!BD21+BD52+'inv plan efter år 2024'!BD28+BD60+BD61+BD62+BD68+BD71+BD72+BD80+'inv plan efter år 2024'!BD63+BD88+'inv plan efter år 2024'!BD66+'inv plan efter år 2024'!BD62+'inv plan efter år 2024'!BD64</f>
        <v>#REF!</v>
      </c>
      <c r="BE3" s="65" t="e">
        <f>#REF!+'inv plan efter år 2024'!BE20+BE49+'inv plan efter år 2024'!BE21+BE52+'inv plan efter år 2024'!BE28+BE60+BE61+BE62+BE68+BE71+BE72+BE80+'inv plan efter år 2024'!BE63+BE88+'inv plan efter år 2024'!BE66+'inv plan efter år 2024'!BE62+'inv plan efter år 2024'!BE64</f>
        <v>#REF!</v>
      </c>
      <c r="BF3" s="65" t="e">
        <f>#REF!+'inv plan efter år 2024'!BF20+BF49+'inv plan efter år 2024'!BF21+BF52+'inv plan efter år 2024'!BF28+BF60+BF61+BF62+BF68+BF71+BF72+BF80+'inv plan efter år 2024'!BF63+BF88+'inv plan efter år 2024'!BF66+'inv plan efter år 2024'!BF62+'inv plan efter år 2024'!BF64</f>
        <v>#REF!</v>
      </c>
      <c r="BG3" s="65" t="e">
        <f>#REF!+'inv plan efter år 2024'!BG20+BG49+'inv plan efter år 2024'!BG21+BG52+'inv plan efter år 2024'!BG28+BG60+BG61+BG62+BG68+BG71+BG72+BG80+'inv plan efter år 2024'!BG63+BG88+'inv plan efter år 2024'!BG66+'inv plan efter år 2024'!BG62+'inv plan efter år 2024'!BG64</f>
        <v>#REF!</v>
      </c>
      <c r="BH3" s="65" t="e">
        <f>#REF!+'inv plan efter år 2024'!BH20+BH49+'inv plan efter år 2024'!BH21+BH52+'inv plan efter år 2024'!BH28+BH60+BH61+BH62+BH68+BH71+BH72+BH80+'inv plan efter år 2024'!BH63+BH88+'inv plan efter år 2024'!BH66+'inv plan efter år 2024'!BH62+'inv plan efter år 2024'!BH64</f>
        <v>#REF!</v>
      </c>
      <c r="BJ3" s="66"/>
      <c r="BL3" s="67"/>
      <c r="BM3" s="34"/>
    </row>
    <row r="4" spans="1:65" ht="15.75" hidden="1" customHeight="1" x14ac:dyDescent="0.2">
      <c r="D4" s="58"/>
      <c r="H4" s="59"/>
      <c r="I4" s="393" t="s">
        <v>27</v>
      </c>
      <c r="J4" s="394"/>
      <c r="K4" s="60">
        <f>K69+K73+K74+K75</f>
        <v>0</v>
      </c>
      <c r="L4" s="60">
        <f>L69+L73+L74+L75</f>
        <v>3000</v>
      </c>
      <c r="M4" s="60">
        <f t="shared" ref="M4:X4" si="2">M69+M73+M74+M75</f>
        <v>2500</v>
      </c>
      <c r="N4" s="60">
        <f t="shared" si="2"/>
        <v>0</v>
      </c>
      <c r="O4" s="61">
        <f t="shared" si="2"/>
        <v>5500</v>
      </c>
      <c r="P4" s="60">
        <f t="shared" si="2"/>
        <v>0</v>
      </c>
      <c r="Q4" s="60">
        <f t="shared" si="2"/>
        <v>500</v>
      </c>
      <c r="R4" s="60">
        <f t="shared" si="2"/>
        <v>0</v>
      </c>
      <c r="S4" s="60">
        <f t="shared" si="2"/>
        <v>0</v>
      </c>
      <c r="T4" s="60">
        <f t="shared" si="2"/>
        <v>0</v>
      </c>
      <c r="U4" s="60">
        <f t="shared" si="2"/>
        <v>0</v>
      </c>
      <c r="V4" s="60">
        <f t="shared" si="2"/>
        <v>0</v>
      </c>
      <c r="W4" s="61">
        <f t="shared" si="2"/>
        <v>6000</v>
      </c>
      <c r="X4" s="60">
        <f t="shared" si="2"/>
        <v>6000</v>
      </c>
      <c r="Y4" s="60"/>
      <c r="Z4" s="60"/>
      <c r="AA4" s="60"/>
      <c r="AB4" s="62">
        <f>'inv plan efter år 2024'!AB26+AB69+AB73+AB74+'inv plan efter år 2024'!AB37+AB75+'inv plan efter år 2024'!AB41+'inv plan efter år 2024'!AB59+'inv plan efter år 2024'!AB65</f>
        <v>0</v>
      </c>
      <c r="AC4" s="63">
        <f>'inv plan efter år 2024'!AC26+AC69+AC73+AC74+'inv plan efter år 2024'!AC37+AC75+'inv plan efter år 2024'!AC41+'inv plan efter år 2024'!AC59+'inv plan efter år 2024'!AC65</f>
        <v>0</v>
      </c>
      <c r="AD4" s="63" t="e">
        <f>'inv plan efter år 2024'!AD26+AD69+AD73+AD74+'inv plan efter år 2024'!AD37+AD75+'inv plan efter år 2024'!AD41+'inv plan efter år 2024'!AD59+'inv plan efter år 2024'!AD65</f>
        <v>#REF!</v>
      </c>
      <c r="AE4" s="63" t="e">
        <f>'inv plan efter år 2024'!AE26+AE69+AE73+AE74+'inv plan efter år 2024'!AE37+AE75+'inv plan efter år 2024'!AE41+'inv plan efter år 2024'!AE59+'inv plan efter år 2024'!AE65</f>
        <v>#REF!</v>
      </c>
      <c r="AF4" s="63" t="e">
        <f>'inv plan efter år 2024'!AF26+AF69+AF73+AF74+'inv plan efter år 2024'!AF37+AF75+'inv plan efter år 2024'!AF41+'inv plan efter år 2024'!AF59+'inv plan efter år 2024'!AF65</f>
        <v>#REF!</v>
      </c>
      <c r="AG4" s="63" t="e">
        <f>'inv plan efter år 2024'!AG26+AG69+AG73+AG74+'inv plan efter år 2024'!AG37+AG75+'inv plan efter år 2024'!AG41+'inv plan efter år 2024'!AG59+'inv plan efter år 2024'!AG65</f>
        <v>#REF!</v>
      </c>
      <c r="AH4" s="63" t="e">
        <f>'inv plan efter år 2024'!AH26+AH69+AH73+AH74+'inv plan efter år 2024'!AH37+AH75+'inv plan efter år 2024'!AH41+'inv plan efter år 2024'!AH59+'inv plan efter år 2024'!AH65</f>
        <v>#REF!</v>
      </c>
      <c r="AI4" s="63" t="e">
        <f>'inv plan efter år 2024'!AI26+AI69+AI73+AI74+'inv plan efter år 2024'!AI37+AI75+'inv plan efter år 2024'!AI41+'inv plan efter år 2024'!AI59+'inv plan efter år 2024'!AI65</f>
        <v>#REF!</v>
      </c>
      <c r="AJ4" s="63" t="e">
        <f>'inv plan efter år 2024'!AJ26+AJ69+AJ73+AJ74+'inv plan efter år 2024'!AJ37+AJ75+'inv plan efter år 2024'!AJ41+'inv plan efter år 2024'!AJ59+'inv plan efter år 2024'!AJ65</f>
        <v>#REF!</v>
      </c>
      <c r="AK4" s="63" t="e">
        <f>'inv plan efter år 2024'!AK26+AK69+AK73+AK74+'inv plan efter år 2024'!AK37+AK75+'inv plan efter år 2024'!AK41+'inv plan efter år 2024'!AK59+'inv plan efter år 2024'!AK65</f>
        <v>#REF!</v>
      </c>
      <c r="AL4" s="63" t="e">
        <f>'inv plan efter år 2024'!AL26+AL69+AL73+AL74+'inv plan efter år 2024'!AL37+AL75+'inv plan efter år 2024'!AL41+'inv plan efter år 2024'!AL59+'inv plan efter år 2024'!AL65</f>
        <v>#REF!</v>
      </c>
      <c r="AM4" s="62">
        <f>'inv plan efter år 2024'!AM26+AM69+AM73+AM74+'inv plan efter år 2024'!AM37+AM75+'inv plan efter år 2024'!AM41+'inv plan efter år 2024'!AM59+'inv plan efter år 2024'!AM65</f>
        <v>0</v>
      </c>
      <c r="AN4" s="64">
        <f>'inv plan efter år 2024'!AN26+AN69+AN73+AN74+'inv plan efter år 2024'!AN37+AN75+'inv plan efter år 2024'!AN41+'inv plan efter år 2024'!AN59+'inv plan efter år 2024'!AN65</f>
        <v>0</v>
      </c>
      <c r="AO4" s="64" t="e">
        <f>'inv plan efter år 2024'!AO26+AO69+AO73+AO74+'inv plan efter år 2024'!AO37+AO75+'inv plan efter år 2024'!AO41+'inv plan efter år 2024'!AO59+'inv plan efter år 2024'!AO65</f>
        <v>#REF!</v>
      </c>
      <c r="AP4" s="64" t="e">
        <f>'inv plan efter år 2024'!AP26+AP69+AP73+AP74+'inv plan efter år 2024'!AP37+AP75+'inv plan efter år 2024'!AP41+'inv plan efter år 2024'!AP59+'inv plan efter år 2024'!AP65</f>
        <v>#REF!</v>
      </c>
      <c r="AQ4" s="64" t="e">
        <f>'inv plan efter år 2024'!AQ26+AQ69+AQ73+AQ74+'inv plan efter år 2024'!AQ37+AQ75+'inv plan efter år 2024'!AQ41+'inv plan efter år 2024'!AQ59+'inv plan efter år 2024'!AQ65</f>
        <v>#REF!</v>
      </c>
      <c r="AR4" s="64" t="e">
        <f>'inv plan efter år 2024'!AR26+AR69+AR73+AR74+'inv plan efter år 2024'!AR37+AR75+'inv plan efter år 2024'!AR41+'inv plan efter år 2024'!AR59+'inv plan efter år 2024'!AR65</f>
        <v>#REF!</v>
      </c>
      <c r="AS4" s="64" t="e">
        <f>'inv plan efter år 2024'!AS26+AS69+AS73+AS74+'inv plan efter år 2024'!AS37+AS75+'inv plan efter år 2024'!AS41+'inv plan efter år 2024'!AS59+'inv plan efter år 2024'!AS65</f>
        <v>#REF!</v>
      </c>
      <c r="AT4" s="64" t="e">
        <f>'inv plan efter år 2024'!AT26+AT69+AT73+AT74+'inv plan efter år 2024'!AT37+AT75+'inv plan efter år 2024'!AT41+'inv plan efter år 2024'!AT59+'inv plan efter år 2024'!AT65</f>
        <v>#REF!</v>
      </c>
      <c r="AU4" s="64" t="e">
        <f>'inv plan efter år 2024'!AU26+AU69+AU73+AU74+'inv plan efter år 2024'!AU37+AU75+'inv plan efter år 2024'!AU41+'inv plan efter år 2024'!AU59+'inv plan efter år 2024'!AU65</f>
        <v>#REF!</v>
      </c>
      <c r="AV4" s="64" t="e">
        <f>'inv plan efter år 2024'!AV26+AV69+AV73+AV74+'inv plan efter år 2024'!AV37+AV75+'inv plan efter år 2024'!AV41+'inv plan efter år 2024'!AV59+'inv plan efter år 2024'!AV65</f>
        <v>#REF!</v>
      </c>
      <c r="AW4" s="64" t="e">
        <f>'inv plan efter år 2024'!AW26+AW69+AW73+AW74+'inv plan efter år 2024'!AW37+AW75+'inv plan efter år 2024'!AW41+'inv plan efter år 2024'!AW59+'inv plan efter år 2024'!AW65</f>
        <v>#REF!</v>
      </c>
      <c r="AX4" s="65">
        <f>'inv plan efter år 2024'!AX26+AX69+AX73+AX74+'inv plan efter år 2024'!AX37+AX75+'inv plan efter år 2024'!AX41+'inv plan efter år 2024'!AX59+'inv plan efter år 2024'!AX65</f>
        <v>0</v>
      </c>
      <c r="AY4" s="65">
        <f>'inv plan efter år 2024'!AY26+AY69+AY73+AY74+'inv plan efter år 2024'!AY37+AY75+'inv plan efter år 2024'!AY41+'inv plan efter år 2024'!AY59+'inv plan efter år 2024'!AY65</f>
        <v>0</v>
      </c>
      <c r="AZ4" s="65">
        <f>'inv plan efter år 2024'!AZ26+AZ69+AZ73+AZ74+'inv plan efter år 2024'!AZ37+AZ75+'inv plan efter år 2024'!AZ41+'inv plan efter år 2024'!AZ59+'inv plan efter år 2024'!AZ65</f>
        <v>0</v>
      </c>
      <c r="BA4" s="65">
        <f>'inv plan efter år 2024'!BA26+BA69+BA73+BA74+'inv plan efter år 2024'!BA37+BA75+'inv plan efter år 2024'!BA41+'inv plan efter år 2024'!BA59+'inv plan efter år 2024'!BA65</f>
        <v>0</v>
      </c>
      <c r="BB4" s="65">
        <f>'inv plan efter år 2024'!BB26+BB69+BB73+BB74+'inv plan efter år 2024'!BB37+BB75+'inv plan efter år 2024'!BB41+'inv plan efter år 2024'!BB59+'inv plan efter år 2024'!BB65</f>
        <v>0</v>
      </c>
      <c r="BC4" s="65">
        <f>'inv plan efter år 2024'!BC26+BC69+BC73+BC74+'inv plan efter år 2024'!BC37+BC75+'inv plan efter år 2024'!BC41+'inv plan efter år 2024'!BC59+'inv plan efter år 2024'!BC65</f>
        <v>0</v>
      </c>
      <c r="BD4" s="65">
        <f>'inv plan efter år 2024'!BD26+BD69+BD73+BD74+'inv plan efter år 2024'!BD37+BD75+'inv plan efter år 2024'!BD41+'inv plan efter år 2024'!BD59+'inv plan efter år 2024'!BD65</f>
        <v>0</v>
      </c>
      <c r="BE4" s="65">
        <f>'inv plan efter år 2024'!BE26+BE69+BE73+BE74+'inv plan efter år 2024'!BE37+BE75+'inv plan efter år 2024'!BE41+'inv plan efter år 2024'!BE59+'inv plan efter år 2024'!BE65</f>
        <v>0</v>
      </c>
      <c r="BF4" s="65">
        <f>'inv plan efter år 2024'!BF26+BF69+BF73+BF74+'inv plan efter år 2024'!BF37+BF75+'inv plan efter år 2024'!BF41+'inv plan efter år 2024'!BF59+'inv plan efter år 2024'!BF65</f>
        <v>0</v>
      </c>
      <c r="BG4" s="65">
        <f>'inv plan efter år 2024'!BG26+BG69+BG73+BG74+'inv plan efter år 2024'!BG37+BG75+'inv plan efter år 2024'!BG41+'inv plan efter år 2024'!BG59+'inv plan efter år 2024'!BG65</f>
        <v>0</v>
      </c>
      <c r="BH4" s="65">
        <f>'inv plan efter år 2024'!BH26+BH69+BH73+BH74+'inv plan efter år 2024'!BH37+BH75+'inv plan efter år 2024'!BH41+'inv plan efter år 2024'!BH59+'inv plan efter år 2024'!BH65</f>
        <v>0</v>
      </c>
      <c r="BJ4" s="66"/>
      <c r="BL4" s="67"/>
      <c r="BM4" s="34"/>
    </row>
    <row r="5" spans="1:65" ht="15.75" hidden="1" customHeight="1" x14ac:dyDescent="0.2">
      <c r="D5" s="58"/>
      <c r="H5" s="59"/>
      <c r="I5" s="393" t="s">
        <v>29</v>
      </c>
      <c r="J5" s="394"/>
      <c r="K5" s="60"/>
      <c r="L5" s="60"/>
      <c r="M5" s="60"/>
      <c r="N5" s="60"/>
      <c r="O5" s="61"/>
      <c r="P5" s="60"/>
      <c r="Q5" s="60"/>
      <c r="R5" s="60"/>
      <c r="S5" s="60"/>
      <c r="T5" s="60"/>
      <c r="U5" s="60"/>
      <c r="V5" s="60"/>
      <c r="W5" s="61"/>
      <c r="X5" s="60"/>
      <c r="Y5" s="60"/>
      <c r="Z5" s="60"/>
      <c r="AA5" s="60"/>
      <c r="AB5" s="62">
        <f>'inv plan efter år 2024'!AB22+'inv plan efter år 2024'!AB23+'inv plan efter år 2024'!AB30+'inv plan efter år 2024'!AB42+'inv plan efter år 2024'!AB61</f>
        <v>0</v>
      </c>
      <c r="AC5" s="63">
        <f>'inv plan efter år 2024'!AC22+'inv plan efter år 2024'!AC23+'inv plan efter år 2024'!AC30+'inv plan efter år 2024'!AC42+'inv plan efter år 2024'!AC61</f>
        <v>0</v>
      </c>
      <c r="AD5" s="63">
        <f>'inv plan efter år 2024'!AD22+'inv plan efter år 2024'!AD23+'inv plan efter år 2024'!AD30+'inv plan efter år 2024'!AD42+'inv plan efter år 2024'!AD61</f>
        <v>0</v>
      </c>
      <c r="AE5" s="63">
        <f>'inv plan efter år 2024'!AE22+'inv plan efter år 2024'!AE23+'inv plan efter år 2024'!AE30+'inv plan efter år 2024'!AE42+'inv plan efter år 2024'!AE61</f>
        <v>0</v>
      </c>
      <c r="AF5" s="63">
        <f>'inv plan efter år 2024'!AF22+'inv plan efter år 2024'!AF23+'inv plan efter år 2024'!AF30+'inv plan efter år 2024'!AF42+'inv plan efter år 2024'!AF61</f>
        <v>0</v>
      </c>
      <c r="AG5" s="63">
        <f>'inv plan efter år 2024'!AG22+'inv plan efter år 2024'!AG23+'inv plan efter år 2024'!AG30+'inv plan efter år 2024'!AG42+'inv plan efter år 2024'!AG61</f>
        <v>0</v>
      </c>
      <c r="AH5" s="63">
        <f>'inv plan efter år 2024'!AH22+'inv plan efter år 2024'!AH23+'inv plan efter år 2024'!AH30+'inv plan efter år 2024'!AH42+'inv plan efter år 2024'!AH61</f>
        <v>0</v>
      </c>
      <c r="AI5" s="63">
        <f>'inv plan efter år 2024'!AI22+'inv plan efter år 2024'!AI23+'inv plan efter år 2024'!AI30+'inv plan efter år 2024'!AI42+'inv plan efter år 2024'!AI61</f>
        <v>0</v>
      </c>
      <c r="AJ5" s="63" t="e">
        <f>'inv plan efter år 2024'!AJ22+'inv plan efter år 2024'!AJ23+'inv plan efter år 2024'!AJ30+'inv plan efter år 2024'!AJ42+'inv plan efter år 2024'!AJ61</f>
        <v>#REF!</v>
      </c>
      <c r="AK5" s="63" t="e">
        <f>'inv plan efter år 2024'!AK22+'inv plan efter år 2024'!AK23+'inv plan efter år 2024'!AK30+'inv plan efter år 2024'!AK42+'inv plan efter år 2024'!AK61</f>
        <v>#REF!</v>
      </c>
      <c r="AL5" s="63" t="e">
        <f>'inv plan efter år 2024'!AL22+'inv plan efter år 2024'!AL23+'inv plan efter år 2024'!AL30+'inv plan efter år 2024'!AL42+'inv plan efter år 2024'!AL61</f>
        <v>#REF!</v>
      </c>
      <c r="AM5" s="62">
        <f>'inv plan efter år 2024'!AM22+'inv plan efter år 2024'!AM23+'inv plan efter år 2024'!AM30+'inv plan efter år 2024'!AM42+'inv plan efter år 2024'!AM61</f>
        <v>0</v>
      </c>
      <c r="AN5" s="64">
        <f>'inv plan efter år 2024'!AN22+'inv plan efter år 2024'!AN23+'inv plan efter år 2024'!AN30+'inv plan efter år 2024'!AN42+'inv plan efter år 2024'!AN61</f>
        <v>0</v>
      </c>
      <c r="AO5" s="64">
        <f>'inv plan efter år 2024'!AO22+'inv plan efter år 2024'!AO23+'inv plan efter år 2024'!AO30+'inv plan efter år 2024'!AO42+'inv plan efter år 2024'!AO61</f>
        <v>0</v>
      </c>
      <c r="AP5" s="64">
        <f>'inv plan efter år 2024'!AP22+'inv plan efter år 2024'!AP23+'inv plan efter år 2024'!AP30+'inv plan efter år 2024'!AP42+'inv plan efter år 2024'!AP61</f>
        <v>0</v>
      </c>
      <c r="AQ5" s="64">
        <f>'inv plan efter år 2024'!AQ22+'inv plan efter år 2024'!AQ23+'inv plan efter år 2024'!AQ30+'inv plan efter år 2024'!AQ42+'inv plan efter år 2024'!AQ61</f>
        <v>0</v>
      </c>
      <c r="AR5" s="64">
        <f>'inv plan efter år 2024'!AR22+'inv plan efter år 2024'!AR23+'inv plan efter år 2024'!AR30+'inv plan efter år 2024'!AR42+'inv plan efter år 2024'!AR61</f>
        <v>0</v>
      </c>
      <c r="AS5" s="64">
        <f>'inv plan efter år 2024'!AS22+'inv plan efter år 2024'!AS23+'inv plan efter år 2024'!AS30+'inv plan efter år 2024'!AS42+'inv plan efter år 2024'!AS61</f>
        <v>0</v>
      </c>
      <c r="AT5" s="64">
        <f>'inv plan efter år 2024'!AT22+'inv plan efter år 2024'!AT23+'inv plan efter år 2024'!AT30+'inv plan efter år 2024'!AT42+'inv plan efter år 2024'!AT61</f>
        <v>0</v>
      </c>
      <c r="AU5" s="64" t="e">
        <f>'inv plan efter år 2024'!AU22+'inv plan efter år 2024'!AU23+'inv plan efter år 2024'!AU30+'inv plan efter år 2024'!AU42+'inv plan efter år 2024'!AU61</f>
        <v>#REF!</v>
      </c>
      <c r="AV5" s="64" t="e">
        <f>'inv plan efter år 2024'!AV22+'inv plan efter år 2024'!AV23+'inv plan efter år 2024'!AV30+'inv plan efter år 2024'!AV42+'inv plan efter år 2024'!AV61</f>
        <v>#REF!</v>
      </c>
      <c r="AW5" s="64" t="e">
        <f>'inv plan efter år 2024'!AW22+'inv plan efter år 2024'!AW23+'inv plan efter år 2024'!AW30+'inv plan efter år 2024'!AW42+'inv plan efter år 2024'!AW61</f>
        <v>#REF!</v>
      </c>
      <c r="AX5" s="65">
        <f>'inv plan efter år 2024'!AX22+'inv plan efter år 2024'!AX23+'inv plan efter år 2024'!AX30+'inv plan efter år 2024'!AX42+'inv plan efter år 2024'!AX61</f>
        <v>0</v>
      </c>
      <c r="AY5" s="65">
        <f>'inv plan efter år 2024'!AY22+'inv plan efter år 2024'!AY23+'inv plan efter år 2024'!AY30+'inv plan efter år 2024'!AY42+'inv plan efter år 2024'!AY61</f>
        <v>0</v>
      </c>
      <c r="AZ5" s="65">
        <f>'inv plan efter år 2024'!AZ22+'inv plan efter år 2024'!AZ23+'inv plan efter år 2024'!AZ30+'inv plan efter år 2024'!AZ42+'inv plan efter år 2024'!AZ61</f>
        <v>0</v>
      </c>
      <c r="BA5" s="65">
        <f>'inv plan efter år 2024'!BA22+'inv plan efter år 2024'!BA23+'inv plan efter år 2024'!BA30+'inv plan efter år 2024'!BA42+'inv plan efter år 2024'!BA61</f>
        <v>0</v>
      </c>
      <c r="BB5" s="65">
        <f>'inv plan efter år 2024'!BB22+'inv plan efter år 2024'!BB23+'inv plan efter år 2024'!BB30+'inv plan efter år 2024'!BB42+'inv plan efter år 2024'!BB61</f>
        <v>0</v>
      </c>
      <c r="BC5" s="65">
        <f>'inv plan efter år 2024'!BC22+'inv plan efter år 2024'!BC23+'inv plan efter år 2024'!BC30+'inv plan efter år 2024'!BC42+'inv plan efter år 2024'!BC61</f>
        <v>0</v>
      </c>
      <c r="BD5" s="65">
        <f>'inv plan efter år 2024'!BD22+'inv plan efter år 2024'!BD23+'inv plan efter år 2024'!BD30+'inv plan efter år 2024'!BD42+'inv plan efter år 2024'!BD61</f>
        <v>0</v>
      </c>
      <c r="BE5" s="65">
        <f>'inv plan efter år 2024'!BE22+'inv plan efter år 2024'!BE23+'inv plan efter år 2024'!BE30+'inv plan efter år 2024'!BE42+'inv plan efter år 2024'!BE61</f>
        <v>0</v>
      </c>
      <c r="BF5" s="65">
        <f>'inv plan efter år 2024'!BF22+'inv plan efter år 2024'!BF23+'inv plan efter år 2024'!BF30+'inv plan efter år 2024'!BF42+'inv plan efter år 2024'!BF61</f>
        <v>0</v>
      </c>
      <c r="BG5" s="65">
        <f>'inv plan efter år 2024'!BG22+'inv plan efter år 2024'!BG23+'inv plan efter år 2024'!BG30+'inv plan efter år 2024'!BG42+'inv plan efter år 2024'!BG61</f>
        <v>0</v>
      </c>
      <c r="BH5" s="65">
        <f>'inv plan efter år 2024'!BH22+'inv plan efter år 2024'!BH23+'inv plan efter år 2024'!BH30+'inv plan efter år 2024'!BH42+'inv plan efter år 2024'!BH61</f>
        <v>20000</v>
      </c>
      <c r="BJ5" s="66"/>
      <c r="BL5" s="67"/>
      <c r="BM5" s="34"/>
    </row>
    <row r="6" spans="1:65" ht="15.75" hidden="1" customHeight="1" x14ac:dyDescent="0.2">
      <c r="D6" s="58"/>
      <c r="H6" s="59"/>
      <c r="I6" s="393" t="s">
        <v>32</v>
      </c>
      <c r="J6" s="394"/>
      <c r="K6" s="60">
        <f>K53+K54+K70+K87</f>
        <v>2500</v>
      </c>
      <c r="L6" s="60">
        <f>L53+L54+L70+L87</f>
        <v>13000</v>
      </c>
      <c r="M6" s="60">
        <f t="shared" ref="M6:X6" si="3">M53+M54+M70+M87</f>
        <v>22000</v>
      </c>
      <c r="N6" s="60">
        <f t="shared" si="3"/>
        <v>40000</v>
      </c>
      <c r="O6" s="61">
        <f t="shared" si="3"/>
        <v>75000</v>
      </c>
      <c r="P6" s="60">
        <f t="shared" si="3"/>
        <v>45000</v>
      </c>
      <c r="Q6" s="60">
        <f t="shared" si="3"/>
        <v>5000</v>
      </c>
      <c r="R6" s="60">
        <f t="shared" si="3"/>
        <v>25000</v>
      </c>
      <c r="S6" s="60">
        <f t="shared" si="3"/>
        <v>12500</v>
      </c>
      <c r="T6" s="60">
        <f t="shared" si="3"/>
        <v>0</v>
      </c>
      <c r="U6" s="60">
        <f t="shared" si="3"/>
        <v>0</v>
      </c>
      <c r="V6" s="60">
        <f t="shared" si="3"/>
        <v>0</v>
      </c>
      <c r="W6" s="61">
        <f t="shared" si="3"/>
        <v>162500</v>
      </c>
      <c r="X6" s="60">
        <f t="shared" si="3"/>
        <v>165000</v>
      </c>
      <c r="Y6" s="60"/>
      <c r="Z6" s="60"/>
      <c r="AA6" s="60"/>
      <c r="AB6" s="62">
        <f>AB53+'inv plan efter år 2024'!AB24+'inv plan efter år 2024'!AB25+AB54+'inv plan efter år 2024'!AB27+'inv plan efter år 2024'!AB29+'inv plan efter år 2024'!AB31+'Inv plan 2018-2027 underlag RPB'!AB70++'inv plan efter år 2024'!AB43+'inv plan efter år 2024'!AB44+'inv plan efter år 2024'!AB45+'inv plan efter år 2024'!AB50+'inv plan efter år 2024'!AB51+AB87+'inv plan efter år 2024'!AB52+'inv plan efter år 2024'!AB53+'inv plan efter år 2024'!AB54+'inv plan efter år 2024'!AB55+'inv plan efter år 2024'!AB56+'inv plan efter år 2024'!AB57+'inv plan efter år 2024'!AB58+'inv plan efter år 2024'!AB60</f>
        <v>0</v>
      </c>
      <c r="AC6" s="63">
        <f>AC53+'inv plan efter år 2024'!AC24+'inv plan efter år 2024'!AC25+AC54+'inv plan efter år 2024'!AC27+'inv plan efter år 2024'!AC29+'inv plan efter år 2024'!AC31+'Inv plan 2018-2027 underlag RPB'!AC70++'inv plan efter år 2024'!AC43+'inv plan efter år 2024'!AC44+'inv plan efter år 2024'!AC45+'inv plan efter år 2024'!AC50+'inv plan efter år 2024'!AC51+AC87+'inv plan efter år 2024'!AC52+'inv plan efter år 2024'!AC53+'inv plan efter år 2024'!AC54+'inv plan efter år 2024'!AC55+'inv plan efter år 2024'!AC56+'inv plan efter år 2024'!AC57+'inv plan efter år 2024'!AC58+'inv plan efter år 2024'!AC60</f>
        <v>0</v>
      </c>
      <c r="AD6" s="63">
        <f>AD53+'inv plan efter år 2024'!AD24+'inv plan efter år 2024'!AD25+AD54+'inv plan efter år 2024'!AD27+'inv plan efter år 2024'!AD29+'inv plan efter år 2024'!AD31+'Inv plan 2018-2027 underlag RPB'!AD70++'inv plan efter år 2024'!AD43+'inv plan efter år 2024'!AD44+'inv plan efter år 2024'!AD45+'inv plan efter år 2024'!AD50+'inv plan efter år 2024'!AD51+AD87+'inv plan efter år 2024'!AD52+'inv plan efter år 2024'!AD53+'inv plan efter år 2024'!AD54+'inv plan efter år 2024'!AD55+'inv plan efter år 2024'!AD56+'inv plan efter år 2024'!AD57+'inv plan efter år 2024'!AD58+'inv plan efter år 2024'!AD60</f>
        <v>0</v>
      </c>
      <c r="AE6" s="63" t="e">
        <f>AE53+'inv plan efter år 2024'!AE24+'inv plan efter år 2024'!AE25+AE54+'inv plan efter år 2024'!AE27+'inv plan efter år 2024'!AE29+'inv plan efter år 2024'!AE31+'Inv plan 2018-2027 underlag RPB'!AE70++'inv plan efter år 2024'!AE43+'inv plan efter år 2024'!AE44+'inv plan efter år 2024'!AE45+'inv plan efter år 2024'!AE50+'inv plan efter år 2024'!AE51+AE87+'inv plan efter år 2024'!AE52+'inv plan efter år 2024'!AE53+'inv plan efter år 2024'!AE54+'inv plan efter år 2024'!AE55+'inv plan efter år 2024'!AE56+'inv plan efter år 2024'!AE57+'inv plan efter år 2024'!AE58+'inv plan efter år 2024'!AE60</f>
        <v>#REF!</v>
      </c>
      <c r="AF6" s="63" t="e">
        <f>AF53+'inv plan efter år 2024'!AF24+'inv plan efter år 2024'!AF25+AF54+'inv plan efter år 2024'!AF27+'inv plan efter år 2024'!AF29+'inv plan efter år 2024'!AF31+'Inv plan 2018-2027 underlag RPB'!AF70++'inv plan efter år 2024'!AF43+'inv plan efter år 2024'!AF44+'inv plan efter år 2024'!AF45+'inv plan efter år 2024'!AF50+'inv plan efter år 2024'!AF51+AF87+'inv plan efter år 2024'!AF52+'inv plan efter år 2024'!AF53+'inv plan efter år 2024'!AF54+'inv plan efter år 2024'!AF55+'inv plan efter år 2024'!AF56+'inv plan efter år 2024'!AF57+'inv plan efter år 2024'!AF58+'inv plan efter år 2024'!AF60</f>
        <v>#REF!</v>
      </c>
      <c r="AG6" s="63" t="e">
        <f>AG53+'inv plan efter år 2024'!AG24+'inv plan efter år 2024'!AG25+AG54+'inv plan efter år 2024'!AG27+'inv plan efter år 2024'!AG29+'inv plan efter år 2024'!AG31+'Inv plan 2018-2027 underlag RPB'!AG70++'inv plan efter år 2024'!AG43+'inv plan efter år 2024'!AG44+'inv plan efter år 2024'!AG45+'inv plan efter år 2024'!AG50+'inv plan efter år 2024'!AG51+AG87+'inv plan efter år 2024'!AG52+'inv plan efter år 2024'!AG53+'inv plan efter år 2024'!AG54+'inv plan efter år 2024'!AG55+'inv plan efter år 2024'!AG56+'inv plan efter år 2024'!AG57+'inv plan efter år 2024'!AG58+'inv plan efter år 2024'!AG60</f>
        <v>#REF!</v>
      </c>
      <c r="AH6" s="63" t="e">
        <f>AH53+'inv plan efter år 2024'!AH24+'inv plan efter år 2024'!AH25+AH54+'inv plan efter år 2024'!AH27+'inv plan efter år 2024'!AH29+'inv plan efter år 2024'!AH31+'Inv plan 2018-2027 underlag RPB'!AH70++'inv plan efter år 2024'!AH43+'inv plan efter år 2024'!AH44+'inv plan efter år 2024'!AH45+'inv plan efter år 2024'!AH50+'inv plan efter år 2024'!AH51+AH87+'inv plan efter år 2024'!AH52+'inv plan efter år 2024'!AH53+'inv plan efter år 2024'!AH54+'inv plan efter år 2024'!AH55+'inv plan efter år 2024'!AH56+'inv plan efter år 2024'!AH57+'inv plan efter år 2024'!AH58+'inv plan efter år 2024'!AH60</f>
        <v>#REF!</v>
      </c>
      <c r="AI6" s="63" t="e">
        <f>AI53+'inv plan efter år 2024'!AI24+'inv plan efter år 2024'!AI25+AI54+'inv plan efter år 2024'!AI27+'inv plan efter år 2024'!AI29+'inv plan efter år 2024'!AI31+'Inv plan 2018-2027 underlag RPB'!AI70++'inv plan efter år 2024'!AI43+'inv plan efter år 2024'!AI44+'inv plan efter år 2024'!AI45+'inv plan efter år 2024'!AI50+'inv plan efter år 2024'!AI51+AI87+'inv plan efter år 2024'!AI52+'inv plan efter år 2024'!AI53+'inv plan efter år 2024'!AI54+'inv plan efter år 2024'!AI55+'inv plan efter år 2024'!AI56+'inv plan efter år 2024'!AI57+'inv plan efter år 2024'!AI58+'inv plan efter år 2024'!AI60</f>
        <v>#REF!</v>
      </c>
      <c r="AJ6" s="63" t="e">
        <f>AJ53+'inv plan efter år 2024'!AJ24+'inv plan efter år 2024'!AJ25+AJ54+'inv plan efter år 2024'!AJ27+'inv plan efter år 2024'!AJ29+'inv plan efter år 2024'!AJ31+'Inv plan 2018-2027 underlag RPB'!AJ70++'inv plan efter år 2024'!AJ43+'inv plan efter år 2024'!AJ44+'inv plan efter år 2024'!AJ45+'inv plan efter år 2024'!AJ50+'inv plan efter år 2024'!AJ51+AJ87+'inv plan efter år 2024'!AJ52+'inv plan efter år 2024'!AJ53+'inv plan efter år 2024'!AJ54+'inv plan efter år 2024'!AJ55+'inv plan efter år 2024'!AJ56+'inv plan efter år 2024'!AJ57+'inv plan efter år 2024'!AJ58+'inv plan efter år 2024'!AJ60</f>
        <v>#REF!</v>
      </c>
      <c r="AK6" s="63" t="e">
        <f>AK53+'inv plan efter år 2024'!AK24+'inv plan efter år 2024'!AK25+AK54+'inv plan efter år 2024'!AK27+'inv plan efter år 2024'!AK29+'inv plan efter år 2024'!AK31+'Inv plan 2018-2027 underlag RPB'!AK70++'inv plan efter år 2024'!AK43+'inv plan efter år 2024'!AK44+'inv plan efter år 2024'!AK45+'inv plan efter år 2024'!AK50+'inv plan efter år 2024'!AK51+AK87+'inv plan efter år 2024'!AK52+'inv plan efter år 2024'!AK53+'inv plan efter år 2024'!AK54+'inv plan efter år 2024'!AK55+'inv plan efter år 2024'!AK56+'inv plan efter år 2024'!AK57+'inv plan efter år 2024'!AK58+'inv plan efter år 2024'!AK60</f>
        <v>#REF!</v>
      </c>
      <c r="AL6" s="63" t="e">
        <f>AL53+'inv plan efter år 2024'!AL24+'inv plan efter år 2024'!AL25+AL54+'inv plan efter år 2024'!AL27+'inv plan efter år 2024'!AL29+'inv plan efter år 2024'!AL31+'Inv plan 2018-2027 underlag RPB'!AL70++'inv plan efter år 2024'!AL43+'inv plan efter år 2024'!AL44+'inv plan efter år 2024'!AL45+'inv plan efter år 2024'!AL50+'inv plan efter år 2024'!AL51+AL87+'inv plan efter år 2024'!AL52+'inv plan efter år 2024'!AL53+'inv plan efter år 2024'!AL54+'inv plan efter år 2024'!AL55+'inv plan efter år 2024'!AL56+'inv plan efter år 2024'!AL57+'inv plan efter år 2024'!AL58+'inv plan efter år 2024'!AL60</f>
        <v>#REF!</v>
      </c>
      <c r="AM6" s="62">
        <f>AM53+'inv plan efter år 2024'!AM24+'inv plan efter år 2024'!AM25+AM54+'inv plan efter år 2024'!AM27+'inv plan efter år 2024'!AM29+'inv plan efter år 2024'!AM31+'Inv plan 2018-2027 underlag RPB'!AM70++'inv plan efter år 2024'!AM43+'inv plan efter år 2024'!AM44+'inv plan efter år 2024'!AM45+'inv plan efter år 2024'!AM50+'inv plan efter år 2024'!AM51+AM87+'inv plan efter år 2024'!AM52+'inv plan efter år 2024'!AM53+'inv plan efter år 2024'!AM54+'inv plan efter år 2024'!AM55+'inv plan efter år 2024'!AM56+'inv plan efter år 2024'!AM57+'inv plan efter år 2024'!AM58+'inv plan efter år 2024'!AM60</f>
        <v>0</v>
      </c>
      <c r="AN6" s="64">
        <f>AN53+'inv plan efter år 2024'!AN24+'inv plan efter år 2024'!AN25+AN54+'inv plan efter år 2024'!AN27+'inv plan efter år 2024'!AN29+'inv plan efter år 2024'!AN31+'Inv plan 2018-2027 underlag RPB'!AN70++'inv plan efter år 2024'!AN43+'inv plan efter år 2024'!AN44+'inv plan efter år 2024'!AN45+'inv plan efter år 2024'!AN50+'inv plan efter år 2024'!AN51+AN87+'inv plan efter år 2024'!AN52+'inv plan efter år 2024'!AN53+'inv plan efter år 2024'!AN54+'inv plan efter år 2024'!AN55+'inv plan efter år 2024'!AN56+'inv plan efter år 2024'!AN57+'inv plan efter år 2024'!AN58+'inv plan efter år 2024'!AN60</f>
        <v>0</v>
      </c>
      <c r="AO6" s="64">
        <f>AO53+'inv plan efter år 2024'!AO24+'inv plan efter år 2024'!AO25+AO54+'inv plan efter år 2024'!AO27+'inv plan efter år 2024'!AO29+'inv plan efter år 2024'!AO31+'Inv plan 2018-2027 underlag RPB'!AO70++'inv plan efter år 2024'!AO43+'inv plan efter år 2024'!AO44+'inv plan efter år 2024'!AO45+'inv plan efter år 2024'!AO50+'inv plan efter år 2024'!AO51+AO87+'inv plan efter år 2024'!AO52+'inv plan efter år 2024'!AO53+'inv plan efter år 2024'!AO54+'inv plan efter år 2024'!AO55+'inv plan efter år 2024'!AO56+'inv plan efter år 2024'!AO57+'inv plan efter år 2024'!AO58+'inv plan efter år 2024'!AO60</f>
        <v>0</v>
      </c>
      <c r="AP6" s="64" t="e">
        <f>AP53+'inv plan efter år 2024'!AP24+'inv plan efter år 2024'!AP25+AP54+'inv plan efter år 2024'!AP27+'inv plan efter år 2024'!AP29+'inv plan efter år 2024'!AP31+'Inv plan 2018-2027 underlag RPB'!AP70++'inv plan efter år 2024'!AP43+'inv plan efter år 2024'!AP44+'inv plan efter år 2024'!AP45+'inv plan efter år 2024'!AP50+'inv plan efter år 2024'!AP51+AP87+'inv plan efter år 2024'!AP52+'inv plan efter år 2024'!AP53+'inv plan efter år 2024'!AP54+'inv plan efter år 2024'!AP55+'inv plan efter år 2024'!AP56+'inv plan efter år 2024'!AP57+'inv plan efter år 2024'!AP58+'inv plan efter år 2024'!AP60</f>
        <v>#REF!</v>
      </c>
      <c r="AQ6" s="64" t="e">
        <f>AQ53+'inv plan efter år 2024'!AQ24+'inv plan efter år 2024'!AQ25+AQ54+'inv plan efter år 2024'!AQ27+'inv plan efter år 2024'!AQ29+'inv plan efter år 2024'!AQ31+'Inv plan 2018-2027 underlag RPB'!AQ70++'inv plan efter år 2024'!AQ43+'inv plan efter år 2024'!AQ44+'inv plan efter år 2024'!AQ45+'inv plan efter år 2024'!AQ50+'inv plan efter år 2024'!AQ51+AQ87+'inv plan efter år 2024'!AQ52+'inv plan efter år 2024'!AQ53+'inv plan efter år 2024'!AQ54+'inv plan efter år 2024'!AQ55+'inv plan efter år 2024'!AQ56+'inv plan efter år 2024'!AQ57+'inv plan efter år 2024'!AQ58+'inv plan efter år 2024'!AQ60</f>
        <v>#REF!</v>
      </c>
      <c r="AR6" s="64" t="e">
        <f>AR53+'inv plan efter år 2024'!AR24+'inv plan efter år 2024'!AR25+AR54+'inv plan efter år 2024'!AR27+'inv plan efter år 2024'!AR29+'inv plan efter år 2024'!AR31+'Inv plan 2018-2027 underlag RPB'!AR70++'inv plan efter år 2024'!AR43+'inv plan efter år 2024'!AR44+'inv plan efter år 2024'!AR45+'inv plan efter år 2024'!AR50+'inv plan efter år 2024'!AR51+AR87+'inv plan efter år 2024'!AR52+'inv plan efter år 2024'!AR53+'inv plan efter år 2024'!AR54+'inv plan efter år 2024'!AR55+'inv plan efter år 2024'!AR56+'inv plan efter år 2024'!AR57+'inv plan efter år 2024'!AR58+'inv plan efter år 2024'!AR60</f>
        <v>#REF!</v>
      </c>
      <c r="AS6" s="64" t="e">
        <f>AS53+'inv plan efter år 2024'!AS24+'inv plan efter år 2024'!AS25+AS54+'inv plan efter år 2024'!AS27+'inv plan efter år 2024'!AS29+'inv plan efter år 2024'!AS31+'Inv plan 2018-2027 underlag RPB'!AS70++'inv plan efter år 2024'!AS43+'inv plan efter år 2024'!AS44+'inv plan efter år 2024'!AS45+'inv plan efter år 2024'!AS50+'inv plan efter år 2024'!AS51+AS87+'inv plan efter år 2024'!AS52+'inv plan efter år 2024'!AS53+'inv plan efter år 2024'!AS54+'inv plan efter år 2024'!AS55+'inv plan efter år 2024'!AS56+'inv plan efter år 2024'!AS57+'inv plan efter år 2024'!AS58+'inv plan efter år 2024'!AS60</f>
        <v>#REF!</v>
      </c>
      <c r="AT6" s="64" t="e">
        <f>AT53+'inv plan efter år 2024'!AT24+'inv plan efter år 2024'!AT25+AT54+'inv plan efter år 2024'!AT27+'inv plan efter år 2024'!AT29+'inv plan efter år 2024'!AT31+'Inv plan 2018-2027 underlag RPB'!AT70++'inv plan efter år 2024'!AT43+'inv plan efter år 2024'!AT44+'inv plan efter år 2024'!AT45+'inv plan efter år 2024'!AT50+'inv plan efter år 2024'!AT51+AT87+'inv plan efter år 2024'!AT52+'inv plan efter år 2024'!AT53+'inv plan efter år 2024'!AT54+'inv plan efter år 2024'!AT55+'inv plan efter år 2024'!AT56+'inv plan efter år 2024'!AT57+'inv plan efter år 2024'!AT58+'inv plan efter år 2024'!AT60</f>
        <v>#REF!</v>
      </c>
      <c r="AU6" s="64" t="e">
        <f>AU53+'inv plan efter år 2024'!AU24+'inv plan efter år 2024'!AU25+AU54+'inv plan efter år 2024'!AU27+'inv plan efter år 2024'!AU29+'inv plan efter år 2024'!AU31+'Inv plan 2018-2027 underlag RPB'!AU70++'inv plan efter år 2024'!AU43+'inv plan efter år 2024'!AU44+'inv plan efter år 2024'!AU45+'inv plan efter år 2024'!AU50+'inv plan efter år 2024'!AU51+AU87+'inv plan efter år 2024'!AU52+'inv plan efter år 2024'!AU53+'inv plan efter år 2024'!AU54+'inv plan efter år 2024'!AU55+'inv plan efter år 2024'!AU56+'inv plan efter år 2024'!AU57+'inv plan efter år 2024'!AU58+'inv plan efter år 2024'!AU60</f>
        <v>#REF!</v>
      </c>
      <c r="AV6" s="64" t="e">
        <f>AV53+'inv plan efter år 2024'!AV24+'inv plan efter år 2024'!AV25+AV54+'inv plan efter år 2024'!AV27+'inv plan efter år 2024'!AV29+'inv plan efter år 2024'!AV31+'Inv plan 2018-2027 underlag RPB'!AV70++'inv plan efter år 2024'!AV43+'inv plan efter år 2024'!AV44+'inv plan efter år 2024'!AV45+'inv plan efter år 2024'!AV50+'inv plan efter år 2024'!AV51+AV87+'inv plan efter år 2024'!AV52+'inv plan efter år 2024'!AV53+'inv plan efter år 2024'!AV54+'inv plan efter år 2024'!AV55+'inv plan efter år 2024'!AV56+'inv plan efter år 2024'!AV57+'inv plan efter år 2024'!AV58+'inv plan efter år 2024'!AV60</f>
        <v>#REF!</v>
      </c>
      <c r="AW6" s="64" t="e">
        <f>AW53+'inv plan efter år 2024'!AW24+'inv plan efter år 2024'!AW25+AW54+'inv plan efter år 2024'!AW27+'inv plan efter år 2024'!AW29+'inv plan efter år 2024'!AW31+'Inv plan 2018-2027 underlag RPB'!AW70++'inv plan efter år 2024'!AW43+'inv plan efter år 2024'!AW44+'inv plan efter år 2024'!AW45+'inv plan efter år 2024'!AW50+'inv plan efter år 2024'!AW51+AW87+'inv plan efter år 2024'!AW52+'inv plan efter år 2024'!AW53+'inv plan efter år 2024'!AW54+'inv plan efter år 2024'!AW55+'inv plan efter år 2024'!AW56+'inv plan efter år 2024'!AW57+'inv plan efter år 2024'!AW58+'inv plan efter år 2024'!AW60</f>
        <v>#REF!</v>
      </c>
      <c r="AX6" s="65">
        <f>AX53+'inv plan efter år 2024'!AX24+'inv plan efter år 2024'!AX25+AX54+'inv plan efter år 2024'!AX27+'inv plan efter år 2024'!AX29+'inv plan efter år 2024'!AX31+'Inv plan 2018-2027 underlag RPB'!AX70++'inv plan efter år 2024'!AX43+'inv plan efter år 2024'!AX44+'inv plan efter år 2024'!AX45+'inv plan efter år 2024'!AX50+'inv plan efter år 2024'!AX51+AX87+'inv plan efter år 2024'!AX52+'inv plan efter år 2024'!AX53+'inv plan efter år 2024'!AX54+'inv plan efter år 2024'!AX55+'inv plan efter år 2024'!AX56+'inv plan efter år 2024'!AX57+'inv plan efter år 2024'!AX58+'inv plan efter år 2024'!AX60</f>
        <v>0</v>
      </c>
      <c r="AY6" s="65">
        <f>AY53+'inv plan efter år 2024'!AY24+'inv plan efter år 2024'!AY25+AY54+'inv plan efter år 2024'!AY27+'inv plan efter år 2024'!AY29+'inv plan efter år 2024'!AY31+'Inv plan 2018-2027 underlag RPB'!AY70++'inv plan efter år 2024'!AY43+'inv plan efter år 2024'!AY44+'inv plan efter år 2024'!AY45+'inv plan efter år 2024'!AY50+'inv plan efter år 2024'!AY51+AY87+'inv plan efter år 2024'!AY52+'inv plan efter år 2024'!AY53+'inv plan efter år 2024'!AY54+'inv plan efter år 2024'!AY55+'inv plan efter år 2024'!AY56+'inv plan efter år 2024'!AY57+'inv plan efter år 2024'!AY58+'inv plan efter år 2024'!AY60</f>
        <v>0</v>
      </c>
      <c r="AZ6" s="65">
        <f>AZ53+'inv plan efter år 2024'!AZ24+'inv plan efter år 2024'!AZ25+AZ54+'inv plan efter år 2024'!AZ27+'inv plan efter år 2024'!AZ29+'inv plan efter år 2024'!AZ31+'Inv plan 2018-2027 underlag RPB'!AZ70++'inv plan efter år 2024'!AZ43+'inv plan efter år 2024'!AZ44+'inv plan efter år 2024'!AZ45+'inv plan efter år 2024'!AZ50+'inv plan efter år 2024'!AZ51+AZ87+'inv plan efter år 2024'!AZ52+'inv plan efter år 2024'!AZ53+'inv plan efter år 2024'!AZ54+'inv plan efter år 2024'!AZ55+'inv plan efter år 2024'!AZ56+'inv plan efter år 2024'!AZ57+'inv plan efter år 2024'!AZ58+'inv plan efter år 2024'!AZ60</f>
        <v>0</v>
      </c>
      <c r="BA6" s="65">
        <f>BA53+'inv plan efter år 2024'!BA24+'inv plan efter år 2024'!BA25+BA54+'inv plan efter år 2024'!BA27+'inv plan efter år 2024'!BA29+'inv plan efter år 2024'!BA31+'Inv plan 2018-2027 underlag RPB'!BA70++'inv plan efter år 2024'!BA43+'inv plan efter år 2024'!BA44+'inv plan efter år 2024'!BA45+'inv plan efter år 2024'!BA50+'inv plan efter år 2024'!BA51+BA87+'inv plan efter år 2024'!BA52+'inv plan efter år 2024'!BA53+'inv plan efter år 2024'!BA54+'inv plan efter år 2024'!BA55+'inv plan efter år 2024'!BA56+'inv plan efter år 2024'!BA57+'inv plan efter år 2024'!BA58+'inv plan efter år 2024'!BA60</f>
        <v>0</v>
      </c>
      <c r="BB6" s="65">
        <f>BB53+'inv plan efter år 2024'!BB24+'inv plan efter år 2024'!BB25+BB54+'inv plan efter år 2024'!BB27+'inv plan efter år 2024'!BB29+'inv plan efter år 2024'!BB31+'Inv plan 2018-2027 underlag RPB'!BB70++'inv plan efter år 2024'!BB43+'inv plan efter år 2024'!BB44+'inv plan efter år 2024'!BB45+'inv plan efter år 2024'!BB50+'inv plan efter år 2024'!BB51+BB87+'inv plan efter år 2024'!BB52+'inv plan efter år 2024'!BB53+'inv plan efter år 2024'!BB54+'inv plan efter år 2024'!BB55+'inv plan efter år 2024'!BB56+'inv plan efter år 2024'!BB57+'inv plan efter år 2024'!BB58+'inv plan efter år 2024'!BB60</f>
        <v>0</v>
      </c>
      <c r="BC6" s="65">
        <f>BC53+'inv plan efter år 2024'!BC24+'inv plan efter år 2024'!BC25+BC54+'inv plan efter år 2024'!BC27+'inv plan efter år 2024'!BC29+'inv plan efter år 2024'!BC31+'Inv plan 2018-2027 underlag RPB'!BC70++'inv plan efter år 2024'!BC43+'inv plan efter år 2024'!BC44+'inv plan efter år 2024'!BC45+'inv plan efter år 2024'!BC50+'inv plan efter år 2024'!BC51+BC87+'inv plan efter år 2024'!BC52+'inv plan efter år 2024'!BC53+'inv plan efter år 2024'!BC54+'inv plan efter år 2024'!BC55+'inv plan efter år 2024'!BC56+'inv plan efter år 2024'!BC57+'inv plan efter år 2024'!BC58+'inv plan efter år 2024'!BC60</f>
        <v>0</v>
      </c>
      <c r="BD6" s="65">
        <f>BD53+'inv plan efter år 2024'!BD24+'inv plan efter år 2024'!BD25+BD54+'inv plan efter år 2024'!BD27+'inv plan efter år 2024'!BD29+'inv plan efter år 2024'!BD31+'Inv plan 2018-2027 underlag RPB'!BD70++'inv plan efter år 2024'!BD43+'inv plan efter år 2024'!BD44+'inv plan efter år 2024'!BD45+'inv plan efter år 2024'!BD50+'inv plan efter år 2024'!BD51+BD87+'inv plan efter år 2024'!BD52+'inv plan efter år 2024'!BD53+'inv plan efter år 2024'!BD54+'inv plan efter år 2024'!BD55+'inv plan efter år 2024'!BD56+'inv plan efter år 2024'!BD57+'inv plan efter år 2024'!BD58+'inv plan efter år 2024'!BD60</f>
        <v>0</v>
      </c>
      <c r="BE6" s="65">
        <f>BE53+'inv plan efter år 2024'!BE24+'inv plan efter år 2024'!BE25+BE54+'inv plan efter år 2024'!BE27+'inv plan efter år 2024'!BE29+'inv plan efter år 2024'!BE31+'Inv plan 2018-2027 underlag RPB'!BE70++'inv plan efter år 2024'!BE43+'inv plan efter år 2024'!BE44+'inv plan efter år 2024'!BE45+'inv plan efter år 2024'!BE50+'inv plan efter år 2024'!BE51+BE87+'inv plan efter år 2024'!BE52+'inv plan efter år 2024'!BE53+'inv plan efter år 2024'!BE54+'inv plan efter år 2024'!BE55+'inv plan efter år 2024'!BE56+'inv plan efter år 2024'!BE57+'inv plan efter år 2024'!BE58+'inv plan efter år 2024'!BE60</f>
        <v>0</v>
      </c>
      <c r="BF6" s="65">
        <f>BF53+'inv plan efter år 2024'!BF24+'inv plan efter år 2024'!BF25+BF54+'inv plan efter år 2024'!BF27+'inv plan efter år 2024'!BF29+'inv plan efter år 2024'!BF31+'Inv plan 2018-2027 underlag RPB'!BF70++'inv plan efter år 2024'!BF43+'inv plan efter år 2024'!BF44+'inv plan efter år 2024'!BF45+'inv plan efter år 2024'!BF50+'inv plan efter år 2024'!BF51+BF87+'inv plan efter år 2024'!BF52+'inv plan efter år 2024'!BF53+'inv plan efter år 2024'!BF54+'inv plan efter år 2024'!BF55+'inv plan efter år 2024'!BF56+'inv plan efter år 2024'!BF57+'inv plan efter år 2024'!BF58+'inv plan efter år 2024'!BF60</f>
        <v>0</v>
      </c>
      <c r="BG6" s="65">
        <f>BG53+'inv plan efter år 2024'!BG24+'inv plan efter år 2024'!BG25+BG54+'inv plan efter år 2024'!BG27+'inv plan efter år 2024'!BG29+'inv plan efter år 2024'!BG31+'Inv plan 2018-2027 underlag RPB'!BG70++'inv plan efter år 2024'!BG43+'inv plan efter år 2024'!BG44+'inv plan efter år 2024'!BG45+'inv plan efter år 2024'!BG50+'inv plan efter år 2024'!BG51+BG87+'inv plan efter år 2024'!BG52+'inv plan efter år 2024'!BG53+'inv plan efter år 2024'!BG54+'inv plan efter år 2024'!BG55+'inv plan efter år 2024'!BG56+'inv plan efter år 2024'!BG57+'inv plan efter år 2024'!BG58+'inv plan efter år 2024'!BG60</f>
        <v>0</v>
      </c>
      <c r="BH6" s="65">
        <f>BH53+'inv plan efter år 2024'!BH24+'inv plan efter år 2024'!BH25+BH54+'inv plan efter år 2024'!BH27+'inv plan efter år 2024'!BH29+'inv plan efter år 2024'!BH31+'Inv plan 2018-2027 underlag RPB'!BH70++'inv plan efter år 2024'!BH43+'inv plan efter år 2024'!BH44+'inv plan efter år 2024'!BH45+'inv plan efter år 2024'!BH50+'inv plan efter år 2024'!BH51+BH87+'inv plan efter år 2024'!BH52+'inv plan efter år 2024'!BH53+'inv plan efter år 2024'!BH54+'inv plan efter år 2024'!BH55+'inv plan efter år 2024'!BH56+'inv plan efter år 2024'!BH57+'inv plan efter år 2024'!BH58+'inv plan efter år 2024'!BH60</f>
        <v>0</v>
      </c>
      <c r="BJ6" s="66"/>
      <c r="BL6" s="67"/>
      <c r="BM6" s="34"/>
    </row>
    <row r="7" spans="1:65" s="4" customFormat="1" ht="16" hidden="1" x14ac:dyDescent="0.2">
      <c r="A7" s="57"/>
      <c r="D7" s="68"/>
      <c r="E7" s="67"/>
      <c r="F7" s="67"/>
      <c r="G7" s="67"/>
      <c r="H7" s="69"/>
      <c r="I7" s="70" t="s">
        <v>35</v>
      </c>
      <c r="J7" s="71"/>
      <c r="K7" s="72" t="e">
        <f t="shared" ref="K7:X7" si="4">K2+K3+K4+K5+K6</f>
        <v>#REF!</v>
      </c>
      <c r="L7" s="73">
        <f t="shared" si="4"/>
        <v>1253834</v>
      </c>
      <c r="M7" s="73">
        <f t="shared" si="4"/>
        <v>851406</v>
      </c>
      <c r="N7" s="73">
        <f t="shared" si="4"/>
        <v>667777</v>
      </c>
      <c r="O7" s="73">
        <f t="shared" si="4"/>
        <v>2773017</v>
      </c>
      <c r="P7" s="73">
        <f t="shared" si="4"/>
        <v>642422</v>
      </c>
      <c r="Q7" s="73">
        <f t="shared" si="4"/>
        <v>427200</v>
      </c>
      <c r="R7" s="73">
        <f t="shared" si="4"/>
        <v>315974</v>
      </c>
      <c r="S7" s="73">
        <f t="shared" si="4"/>
        <v>62500</v>
      </c>
      <c r="T7" s="73">
        <f t="shared" si="4"/>
        <v>35000</v>
      </c>
      <c r="U7" s="73">
        <f t="shared" si="4"/>
        <v>5000</v>
      </c>
      <c r="V7" s="73">
        <f t="shared" si="4"/>
        <v>0</v>
      </c>
      <c r="W7" s="73">
        <f t="shared" si="4"/>
        <v>4261113</v>
      </c>
      <c r="X7" s="73" t="e">
        <f t="shared" si="4"/>
        <v>#REF!</v>
      </c>
      <c r="Y7" s="73"/>
      <c r="Z7" s="73"/>
      <c r="AA7" s="73"/>
      <c r="AB7" s="73" t="e">
        <f t="shared" ref="AB7:BH7" si="5">AB2+AB3+AB4+AB5+AB6</f>
        <v>#REF!</v>
      </c>
      <c r="AC7" s="73" t="e">
        <f t="shared" si="5"/>
        <v>#REF!</v>
      </c>
      <c r="AD7" s="73" t="e">
        <f t="shared" si="5"/>
        <v>#REF!</v>
      </c>
      <c r="AE7" s="73" t="e">
        <f t="shared" si="5"/>
        <v>#REF!</v>
      </c>
      <c r="AF7" s="73" t="e">
        <f t="shared" si="5"/>
        <v>#REF!</v>
      </c>
      <c r="AG7" s="73" t="e">
        <f t="shared" si="5"/>
        <v>#REF!</v>
      </c>
      <c r="AH7" s="73" t="e">
        <f t="shared" si="5"/>
        <v>#REF!</v>
      </c>
      <c r="AI7" s="73" t="e">
        <f t="shared" si="5"/>
        <v>#REF!</v>
      </c>
      <c r="AJ7" s="73" t="e">
        <f t="shared" si="5"/>
        <v>#REF!</v>
      </c>
      <c r="AK7" s="73" t="e">
        <f t="shared" si="5"/>
        <v>#REF!</v>
      </c>
      <c r="AL7" s="73" t="e">
        <f t="shared" si="5"/>
        <v>#REF!</v>
      </c>
      <c r="AM7" s="73" t="e">
        <f t="shared" si="5"/>
        <v>#REF!</v>
      </c>
      <c r="AN7" s="73" t="e">
        <f t="shared" si="5"/>
        <v>#REF!</v>
      </c>
      <c r="AO7" s="73" t="e">
        <f t="shared" si="5"/>
        <v>#REF!</v>
      </c>
      <c r="AP7" s="73" t="e">
        <f t="shared" si="5"/>
        <v>#REF!</v>
      </c>
      <c r="AQ7" s="73" t="e">
        <f t="shared" si="5"/>
        <v>#REF!</v>
      </c>
      <c r="AR7" s="73" t="e">
        <f t="shared" si="5"/>
        <v>#REF!</v>
      </c>
      <c r="AS7" s="73" t="e">
        <f t="shared" si="5"/>
        <v>#REF!</v>
      </c>
      <c r="AT7" s="73" t="e">
        <f t="shared" si="5"/>
        <v>#REF!</v>
      </c>
      <c r="AU7" s="73" t="e">
        <f t="shared" si="5"/>
        <v>#REF!</v>
      </c>
      <c r="AV7" s="73" t="e">
        <f t="shared" si="5"/>
        <v>#REF!</v>
      </c>
      <c r="AW7" s="73" t="e">
        <f t="shared" si="5"/>
        <v>#REF!</v>
      </c>
      <c r="AX7" s="73" t="e">
        <f t="shared" si="5"/>
        <v>#REF!</v>
      </c>
      <c r="AY7" s="73" t="e">
        <f t="shared" si="5"/>
        <v>#REF!</v>
      </c>
      <c r="AZ7" s="73" t="e">
        <f t="shared" si="5"/>
        <v>#REF!</v>
      </c>
      <c r="BA7" s="73" t="e">
        <f t="shared" si="5"/>
        <v>#REF!</v>
      </c>
      <c r="BB7" s="73" t="e">
        <f t="shared" si="5"/>
        <v>#REF!</v>
      </c>
      <c r="BC7" s="73" t="e">
        <f t="shared" si="5"/>
        <v>#REF!</v>
      </c>
      <c r="BD7" s="73" t="e">
        <f t="shared" si="5"/>
        <v>#REF!</v>
      </c>
      <c r="BE7" s="73" t="e">
        <f t="shared" si="5"/>
        <v>#REF!</v>
      </c>
      <c r="BF7" s="73" t="e">
        <f t="shared" si="5"/>
        <v>#REF!</v>
      </c>
      <c r="BG7" s="73" t="e">
        <f t="shared" si="5"/>
        <v>#REF!</v>
      </c>
      <c r="BH7" s="73" t="e">
        <f t="shared" si="5"/>
        <v>#REF!</v>
      </c>
      <c r="BJ7" s="66"/>
      <c r="BL7" s="67"/>
      <c r="BM7" s="34"/>
    </row>
    <row r="8" spans="1:65" ht="15.75" hidden="1" customHeight="1" x14ac:dyDescent="0.2">
      <c r="D8" s="58"/>
      <c r="H8" s="59"/>
      <c r="I8" s="393" t="s">
        <v>38</v>
      </c>
      <c r="J8" s="394"/>
      <c r="K8" s="60">
        <f t="shared" ref="K8:X8" si="6">K102+K103</f>
        <v>116000</v>
      </c>
      <c r="L8" s="60">
        <f t="shared" si="6"/>
        <v>105000</v>
      </c>
      <c r="M8" s="60">
        <f t="shared" si="6"/>
        <v>106000</v>
      </c>
      <c r="N8" s="60">
        <f t="shared" si="6"/>
        <v>105700</v>
      </c>
      <c r="O8" s="61">
        <f t="shared" si="6"/>
        <v>316700</v>
      </c>
      <c r="P8" s="60">
        <f t="shared" si="6"/>
        <v>110000</v>
      </c>
      <c r="Q8" s="60">
        <f t="shared" si="6"/>
        <v>110000</v>
      </c>
      <c r="R8" s="60">
        <f t="shared" si="6"/>
        <v>110000</v>
      </c>
      <c r="S8" s="60">
        <f t="shared" si="6"/>
        <v>150000</v>
      </c>
      <c r="T8" s="60">
        <f t="shared" si="6"/>
        <v>150000</v>
      </c>
      <c r="U8" s="60">
        <f t="shared" si="6"/>
        <v>150000</v>
      </c>
      <c r="V8" s="60">
        <f t="shared" si="6"/>
        <v>150000</v>
      </c>
      <c r="W8" s="61">
        <f>W102+W103</f>
        <v>1246700</v>
      </c>
      <c r="X8" s="60">
        <f t="shared" si="6"/>
        <v>1362700</v>
      </c>
      <c r="Y8" s="60"/>
      <c r="Z8" s="60"/>
      <c r="AA8" s="60"/>
      <c r="AB8" s="62">
        <f t="shared" ref="AB8:BH8" si="7">AB102+AB103</f>
        <v>0</v>
      </c>
      <c r="AC8" s="63">
        <f t="shared" si="7"/>
        <v>0</v>
      </c>
      <c r="AD8" s="63">
        <f t="shared" si="7"/>
        <v>0</v>
      </c>
      <c r="AE8" s="63">
        <f t="shared" si="7"/>
        <v>0</v>
      </c>
      <c r="AF8" s="63">
        <f t="shared" si="7"/>
        <v>0</v>
      </c>
      <c r="AG8" s="63">
        <f t="shared" si="7"/>
        <v>0</v>
      </c>
      <c r="AH8" s="63">
        <f t="shared" si="7"/>
        <v>0</v>
      </c>
      <c r="AI8" s="63">
        <f t="shared" si="7"/>
        <v>0</v>
      </c>
      <c r="AJ8" s="63">
        <f t="shared" si="7"/>
        <v>0</v>
      </c>
      <c r="AK8" s="63">
        <f t="shared" si="7"/>
        <v>0</v>
      </c>
      <c r="AL8" s="63">
        <f t="shared" si="7"/>
        <v>0</v>
      </c>
      <c r="AM8" s="62">
        <f t="shared" si="7"/>
        <v>0</v>
      </c>
      <c r="AN8" s="64">
        <f t="shared" si="7"/>
        <v>7000</v>
      </c>
      <c r="AO8" s="64" t="e">
        <f t="shared" si="7"/>
        <v>#REF!</v>
      </c>
      <c r="AP8" s="64" t="e">
        <f t="shared" si="7"/>
        <v>#REF!</v>
      </c>
      <c r="AQ8" s="64" t="e">
        <f t="shared" si="7"/>
        <v>#REF!</v>
      </c>
      <c r="AR8" s="64" t="e">
        <f t="shared" si="7"/>
        <v>#REF!</v>
      </c>
      <c r="AS8" s="64" t="e">
        <f t="shared" si="7"/>
        <v>#REF!</v>
      </c>
      <c r="AT8" s="64" t="e">
        <f t="shared" si="7"/>
        <v>#REF!</v>
      </c>
      <c r="AU8" s="64" t="e">
        <f t="shared" si="7"/>
        <v>#REF!</v>
      </c>
      <c r="AV8" s="64" t="e">
        <f t="shared" si="7"/>
        <v>#REF!</v>
      </c>
      <c r="AW8" s="64" t="e">
        <f t="shared" si="7"/>
        <v>#REF!</v>
      </c>
      <c r="AX8" s="65">
        <f t="shared" si="7"/>
        <v>0</v>
      </c>
      <c r="AY8" s="65">
        <f t="shared" si="7"/>
        <v>0</v>
      </c>
      <c r="AZ8" s="65">
        <f t="shared" si="7"/>
        <v>0</v>
      </c>
      <c r="BA8" s="65">
        <f t="shared" si="7"/>
        <v>0</v>
      </c>
      <c r="BB8" s="65">
        <f t="shared" si="7"/>
        <v>0</v>
      </c>
      <c r="BC8" s="65">
        <f t="shared" si="7"/>
        <v>0</v>
      </c>
      <c r="BD8" s="65">
        <f t="shared" si="7"/>
        <v>0</v>
      </c>
      <c r="BE8" s="65">
        <f t="shared" si="7"/>
        <v>0</v>
      </c>
      <c r="BF8" s="65">
        <f t="shared" si="7"/>
        <v>0</v>
      </c>
      <c r="BG8" s="65">
        <f t="shared" si="7"/>
        <v>0</v>
      </c>
      <c r="BH8" s="65">
        <f t="shared" si="7"/>
        <v>0</v>
      </c>
      <c r="BJ8" s="66"/>
      <c r="BL8" s="67"/>
      <c r="BM8" s="34"/>
    </row>
    <row r="9" spans="1:65" ht="15.75" hidden="1" customHeight="1" x14ac:dyDescent="0.2">
      <c r="D9" s="58"/>
      <c r="H9" s="59"/>
      <c r="I9" s="393" t="s">
        <v>41</v>
      </c>
      <c r="J9" s="394"/>
      <c r="K9" s="60">
        <f t="shared" ref="K9:X9" si="8">K94+K95+K97+K104+K105+K99</f>
        <v>85500</v>
      </c>
      <c r="L9" s="60">
        <f t="shared" si="8"/>
        <v>123500</v>
      </c>
      <c r="M9" s="60">
        <f t="shared" si="8"/>
        <v>48000</v>
      </c>
      <c r="N9" s="60">
        <f t="shared" si="8"/>
        <v>29000</v>
      </c>
      <c r="O9" s="61">
        <f t="shared" si="8"/>
        <v>200500</v>
      </c>
      <c r="P9" s="60">
        <f t="shared" si="8"/>
        <v>0</v>
      </c>
      <c r="Q9" s="60">
        <f t="shared" si="8"/>
        <v>0</v>
      </c>
      <c r="R9" s="60">
        <f t="shared" si="8"/>
        <v>0</v>
      </c>
      <c r="S9" s="60">
        <f t="shared" si="8"/>
        <v>0</v>
      </c>
      <c r="T9" s="60">
        <f t="shared" si="8"/>
        <v>0</v>
      </c>
      <c r="U9" s="60">
        <f t="shared" si="8"/>
        <v>0</v>
      </c>
      <c r="V9" s="60">
        <f t="shared" si="8"/>
        <v>0</v>
      </c>
      <c r="W9" s="61">
        <f t="shared" si="8"/>
        <v>200500</v>
      </c>
      <c r="X9" s="60">
        <f t="shared" si="8"/>
        <v>286000</v>
      </c>
      <c r="Y9" s="60"/>
      <c r="Z9" s="60"/>
      <c r="AA9" s="60"/>
      <c r="AB9" s="62">
        <f t="shared" ref="AB9:BH9" si="9">AB94+AB95+AB97+AB104+AB105+AB99</f>
        <v>0</v>
      </c>
      <c r="AC9" s="63">
        <f t="shared" si="9"/>
        <v>0</v>
      </c>
      <c r="AD9" s="63">
        <f t="shared" si="9"/>
        <v>0</v>
      </c>
      <c r="AE9" s="63">
        <f t="shared" si="9"/>
        <v>0</v>
      </c>
      <c r="AF9" s="63">
        <f t="shared" si="9"/>
        <v>0</v>
      </c>
      <c r="AG9" s="63">
        <f t="shared" si="9"/>
        <v>0</v>
      </c>
      <c r="AH9" s="63">
        <f t="shared" si="9"/>
        <v>0</v>
      </c>
      <c r="AI9" s="63">
        <f t="shared" si="9"/>
        <v>0</v>
      </c>
      <c r="AJ9" s="63">
        <f t="shared" si="9"/>
        <v>0</v>
      </c>
      <c r="AK9" s="63">
        <f t="shared" si="9"/>
        <v>0</v>
      </c>
      <c r="AL9" s="63">
        <f t="shared" si="9"/>
        <v>0</v>
      </c>
      <c r="AM9" s="62">
        <f t="shared" si="9"/>
        <v>0</v>
      </c>
      <c r="AN9" s="64">
        <f t="shared" si="9"/>
        <v>0</v>
      </c>
      <c r="AO9" s="64" t="e">
        <f t="shared" si="9"/>
        <v>#REF!</v>
      </c>
      <c r="AP9" s="64" t="e">
        <f t="shared" si="9"/>
        <v>#REF!</v>
      </c>
      <c r="AQ9" s="64" t="e">
        <f t="shared" si="9"/>
        <v>#REF!</v>
      </c>
      <c r="AR9" s="64" t="e">
        <f t="shared" si="9"/>
        <v>#REF!</v>
      </c>
      <c r="AS9" s="64" t="e">
        <f t="shared" si="9"/>
        <v>#REF!</v>
      </c>
      <c r="AT9" s="64" t="e">
        <f t="shared" si="9"/>
        <v>#REF!</v>
      </c>
      <c r="AU9" s="64" t="e">
        <f t="shared" si="9"/>
        <v>#REF!</v>
      </c>
      <c r="AV9" s="64" t="e">
        <f t="shared" si="9"/>
        <v>#REF!</v>
      </c>
      <c r="AW9" s="64" t="e">
        <f t="shared" si="9"/>
        <v>#REF!</v>
      </c>
      <c r="AX9" s="65">
        <f t="shared" si="9"/>
        <v>0</v>
      </c>
      <c r="AY9" s="65">
        <f t="shared" si="9"/>
        <v>0</v>
      </c>
      <c r="AZ9" s="65">
        <f t="shared" si="9"/>
        <v>0</v>
      </c>
      <c r="BA9" s="65">
        <f t="shared" si="9"/>
        <v>0</v>
      </c>
      <c r="BB9" s="65">
        <f t="shared" si="9"/>
        <v>0</v>
      </c>
      <c r="BC9" s="65">
        <f t="shared" si="9"/>
        <v>0</v>
      </c>
      <c r="BD9" s="65">
        <f t="shared" si="9"/>
        <v>0</v>
      </c>
      <c r="BE9" s="65">
        <f t="shared" si="9"/>
        <v>0</v>
      </c>
      <c r="BF9" s="65">
        <f t="shared" si="9"/>
        <v>0</v>
      </c>
      <c r="BG9" s="65">
        <f t="shared" si="9"/>
        <v>0</v>
      </c>
      <c r="BH9" s="65">
        <f t="shared" si="9"/>
        <v>0</v>
      </c>
      <c r="BJ9" s="66"/>
      <c r="BL9" s="67"/>
      <c r="BM9" s="34"/>
    </row>
    <row r="10" spans="1:65" ht="16" hidden="1" x14ac:dyDescent="0.2">
      <c r="D10" s="58"/>
      <c r="H10" s="59"/>
      <c r="I10" s="393" t="s">
        <v>44</v>
      </c>
      <c r="J10" s="394"/>
      <c r="K10" s="60">
        <f t="shared" ref="K10:X10" si="10">K98+K101</f>
        <v>3000</v>
      </c>
      <c r="L10" s="60">
        <f t="shared" si="10"/>
        <v>16000</v>
      </c>
      <c r="M10" s="60">
        <f t="shared" si="10"/>
        <v>15000</v>
      </c>
      <c r="N10" s="60">
        <f t="shared" si="10"/>
        <v>0</v>
      </c>
      <c r="O10" s="61">
        <f t="shared" si="10"/>
        <v>31000</v>
      </c>
      <c r="P10" s="60">
        <f t="shared" si="10"/>
        <v>0</v>
      </c>
      <c r="Q10" s="60">
        <f t="shared" si="10"/>
        <v>0</v>
      </c>
      <c r="R10" s="60">
        <f t="shared" si="10"/>
        <v>0</v>
      </c>
      <c r="S10" s="60">
        <f t="shared" si="10"/>
        <v>0</v>
      </c>
      <c r="T10" s="60">
        <f t="shared" si="10"/>
        <v>0</v>
      </c>
      <c r="U10" s="60">
        <f t="shared" si="10"/>
        <v>0</v>
      </c>
      <c r="V10" s="60">
        <f t="shared" si="10"/>
        <v>0</v>
      </c>
      <c r="W10" s="61">
        <f t="shared" si="10"/>
        <v>31000</v>
      </c>
      <c r="X10" s="60">
        <f t="shared" si="10"/>
        <v>34000</v>
      </c>
      <c r="Y10" s="60"/>
      <c r="Z10" s="60"/>
      <c r="AA10" s="60"/>
      <c r="AB10" s="62">
        <f t="shared" ref="AB10:BH10" si="11">AB98+AB101</f>
        <v>0</v>
      </c>
      <c r="AC10" s="63">
        <f t="shared" si="11"/>
        <v>0</v>
      </c>
      <c r="AD10" s="63">
        <f t="shared" si="11"/>
        <v>0</v>
      </c>
      <c r="AE10" s="63">
        <f t="shared" si="11"/>
        <v>0</v>
      </c>
      <c r="AF10" s="63">
        <f t="shared" si="11"/>
        <v>0</v>
      </c>
      <c r="AG10" s="63">
        <f t="shared" si="11"/>
        <v>0</v>
      </c>
      <c r="AH10" s="63">
        <f t="shared" si="11"/>
        <v>0</v>
      </c>
      <c r="AI10" s="63">
        <f t="shared" si="11"/>
        <v>0</v>
      </c>
      <c r="AJ10" s="63">
        <f t="shared" si="11"/>
        <v>0</v>
      </c>
      <c r="AK10" s="63">
        <f t="shared" si="11"/>
        <v>0</v>
      </c>
      <c r="AL10" s="63">
        <f t="shared" si="11"/>
        <v>0</v>
      </c>
      <c r="AM10" s="62">
        <f t="shared" si="11"/>
        <v>0</v>
      </c>
      <c r="AN10" s="64">
        <f t="shared" si="11"/>
        <v>0</v>
      </c>
      <c r="AO10" s="64" t="e">
        <f t="shared" si="11"/>
        <v>#REF!</v>
      </c>
      <c r="AP10" s="64" t="e">
        <f t="shared" si="11"/>
        <v>#REF!</v>
      </c>
      <c r="AQ10" s="64" t="e">
        <f t="shared" si="11"/>
        <v>#REF!</v>
      </c>
      <c r="AR10" s="64" t="e">
        <f t="shared" si="11"/>
        <v>#REF!</v>
      </c>
      <c r="AS10" s="64" t="e">
        <f t="shared" si="11"/>
        <v>#REF!</v>
      </c>
      <c r="AT10" s="64" t="e">
        <f t="shared" si="11"/>
        <v>#REF!</v>
      </c>
      <c r="AU10" s="64" t="e">
        <f t="shared" si="11"/>
        <v>#REF!</v>
      </c>
      <c r="AV10" s="64" t="e">
        <f t="shared" si="11"/>
        <v>#REF!</v>
      </c>
      <c r="AW10" s="64" t="e">
        <f t="shared" si="11"/>
        <v>#REF!</v>
      </c>
      <c r="AX10" s="65">
        <f t="shared" si="11"/>
        <v>0</v>
      </c>
      <c r="AY10" s="65">
        <f t="shared" si="11"/>
        <v>0</v>
      </c>
      <c r="AZ10" s="65">
        <f t="shared" si="11"/>
        <v>0</v>
      </c>
      <c r="BA10" s="65">
        <f t="shared" si="11"/>
        <v>0</v>
      </c>
      <c r="BB10" s="65">
        <f t="shared" si="11"/>
        <v>0</v>
      </c>
      <c r="BC10" s="65">
        <f t="shared" si="11"/>
        <v>0</v>
      </c>
      <c r="BD10" s="65">
        <f t="shared" si="11"/>
        <v>0</v>
      </c>
      <c r="BE10" s="65">
        <f t="shared" si="11"/>
        <v>0</v>
      </c>
      <c r="BF10" s="65">
        <f t="shared" si="11"/>
        <v>0</v>
      </c>
      <c r="BG10" s="65">
        <f t="shared" si="11"/>
        <v>0</v>
      </c>
      <c r="BH10" s="65">
        <f t="shared" si="11"/>
        <v>0</v>
      </c>
      <c r="BJ10" s="66"/>
      <c r="BL10" s="67"/>
      <c r="BM10" s="34"/>
    </row>
    <row r="11" spans="1:65" ht="16" hidden="1" x14ac:dyDescent="0.2">
      <c r="D11" s="58"/>
      <c r="H11" s="59"/>
      <c r="I11" s="393" t="s">
        <v>47</v>
      </c>
      <c r="J11" s="394"/>
      <c r="K11" s="60">
        <f t="shared" ref="K11:X11" si="12">K96+K100</f>
        <v>0</v>
      </c>
      <c r="L11" s="60">
        <f t="shared" si="12"/>
        <v>0</v>
      </c>
      <c r="M11" s="60">
        <f t="shared" si="12"/>
        <v>15000</v>
      </c>
      <c r="N11" s="60">
        <f t="shared" si="12"/>
        <v>15000</v>
      </c>
      <c r="O11" s="61">
        <f t="shared" si="12"/>
        <v>30000</v>
      </c>
      <c r="P11" s="60">
        <f t="shared" si="12"/>
        <v>38000</v>
      </c>
      <c r="Q11" s="60">
        <f t="shared" si="12"/>
        <v>50000</v>
      </c>
      <c r="R11" s="60">
        <f t="shared" si="12"/>
        <v>53000</v>
      </c>
      <c r="S11" s="60">
        <f t="shared" si="12"/>
        <v>0</v>
      </c>
      <c r="T11" s="60">
        <f t="shared" si="12"/>
        <v>0</v>
      </c>
      <c r="U11" s="60">
        <f t="shared" si="12"/>
        <v>0</v>
      </c>
      <c r="V11" s="60">
        <f t="shared" si="12"/>
        <v>0</v>
      </c>
      <c r="W11" s="61">
        <f t="shared" si="12"/>
        <v>171000</v>
      </c>
      <c r="X11" s="60">
        <f t="shared" si="12"/>
        <v>171000</v>
      </c>
      <c r="Y11" s="60"/>
      <c r="Z11" s="60"/>
      <c r="AA11" s="60"/>
      <c r="AB11" s="62">
        <f t="shared" ref="AB11:BH11" si="13">AB96+AB100</f>
        <v>0</v>
      </c>
      <c r="AC11" s="63">
        <f t="shared" si="13"/>
        <v>0</v>
      </c>
      <c r="AD11" s="63">
        <f t="shared" si="13"/>
        <v>0</v>
      </c>
      <c r="AE11" s="63">
        <f t="shared" si="13"/>
        <v>0</v>
      </c>
      <c r="AF11" s="63">
        <f t="shared" si="13"/>
        <v>0</v>
      </c>
      <c r="AG11" s="63">
        <f t="shared" si="13"/>
        <v>0</v>
      </c>
      <c r="AH11" s="63">
        <f t="shared" si="13"/>
        <v>0</v>
      </c>
      <c r="AI11" s="63">
        <f t="shared" si="13"/>
        <v>0</v>
      </c>
      <c r="AJ11" s="63">
        <f t="shared" si="13"/>
        <v>0</v>
      </c>
      <c r="AK11" s="63">
        <f t="shared" si="13"/>
        <v>0</v>
      </c>
      <c r="AL11" s="63">
        <f t="shared" si="13"/>
        <v>0</v>
      </c>
      <c r="AM11" s="62">
        <f t="shared" si="13"/>
        <v>0</v>
      </c>
      <c r="AN11" s="64">
        <f t="shared" si="13"/>
        <v>0</v>
      </c>
      <c r="AO11" s="64">
        <f t="shared" si="13"/>
        <v>0</v>
      </c>
      <c r="AP11" s="64" t="e">
        <f t="shared" si="13"/>
        <v>#REF!</v>
      </c>
      <c r="AQ11" s="64" t="e">
        <f t="shared" si="13"/>
        <v>#REF!</v>
      </c>
      <c r="AR11" s="64" t="e">
        <f t="shared" si="13"/>
        <v>#REF!</v>
      </c>
      <c r="AS11" s="64" t="e">
        <f t="shared" si="13"/>
        <v>#REF!</v>
      </c>
      <c r="AT11" s="64" t="e">
        <f t="shared" si="13"/>
        <v>#REF!</v>
      </c>
      <c r="AU11" s="64" t="e">
        <f t="shared" si="13"/>
        <v>#REF!</v>
      </c>
      <c r="AV11" s="64" t="e">
        <f t="shared" si="13"/>
        <v>#REF!</v>
      </c>
      <c r="AW11" s="64" t="e">
        <f t="shared" si="13"/>
        <v>#REF!</v>
      </c>
      <c r="AX11" s="65">
        <f t="shared" si="13"/>
        <v>0</v>
      </c>
      <c r="AY11" s="65">
        <f t="shared" si="13"/>
        <v>0</v>
      </c>
      <c r="AZ11" s="65">
        <f t="shared" si="13"/>
        <v>0</v>
      </c>
      <c r="BA11" s="65">
        <f t="shared" si="13"/>
        <v>0</v>
      </c>
      <c r="BB11" s="65">
        <f t="shared" si="13"/>
        <v>0</v>
      </c>
      <c r="BC11" s="65">
        <f t="shared" si="13"/>
        <v>0</v>
      </c>
      <c r="BD11" s="65">
        <f t="shared" si="13"/>
        <v>0</v>
      </c>
      <c r="BE11" s="65">
        <f t="shared" si="13"/>
        <v>0</v>
      </c>
      <c r="BF11" s="65">
        <f t="shared" si="13"/>
        <v>0</v>
      </c>
      <c r="BG11" s="65">
        <f t="shared" si="13"/>
        <v>0</v>
      </c>
      <c r="BH11" s="65">
        <f t="shared" si="13"/>
        <v>0</v>
      </c>
      <c r="BJ11" s="66"/>
      <c r="BL11" s="67"/>
      <c r="BM11" s="34"/>
    </row>
    <row r="12" spans="1:65" ht="16" hidden="1" x14ac:dyDescent="0.2">
      <c r="D12" s="58"/>
      <c r="H12" s="59"/>
      <c r="I12" s="393" t="s">
        <v>50</v>
      </c>
      <c r="J12" s="394"/>
      <c r="K12" s="60"/>
      <c r="L12" s="60"/>
      <c r="M12" s="60"/>
      <c r="N12" s="60"/>
      <c r="O12" s="60"/>
      <c r="P12" s="60"/>
      <c r="Q12" s="60"/>
      <c r="R12" s="60"/>
      <c r="S12" s="60"/>
      <c r="T12" s="60"/>
      <c r="U12" s="60"/>
      <c r="V12" s="60"/>
      <c r="W12" s="60"/>
      <c r="X12" s="60"/>
      <c r="Y12" s="60"/>
      <c r="Z12" s="60"/>
      <c r="AA12" s="60"/>
      <c r="AB12" s="62">
        <f>'inv plan efter år 2024'!AB70</f>
        <v>0</v>
      </c>
      <c r="AC12" s="63">
        <f>'inv plan efter år 2024'!AC70</f>
        <v>0</v>
      </c>
      <c r="AD12" s="63">
        <f>'inv plan efter år 2024'!AD70</f>
        <v>0</v>
      </c>
      <c r="AE12" s="63">
        <f>'inv plan efter år 2024'!AE70</f>
        <v>0</v>
      </c>
      <c r="AF12" s="63">
        <f>'inv plan efter år 2024'!AF70</f>
        <v>0</v>
      </c>
      <c r="AG12" s="63">
        <f>'inv plan efter år 2024'!AG70</f>
        <v>0</v>
      </c>
      <c r="AH12" s="63">
        <f>'inv plan efter år 2024'!AH70</f>
        <v>0</v>
      </c>
      <c r="AI12" s="63">
        <f>'inv plan efter år 2024'!AI70</f>
        <v>0</v>
      </c>
      <c r="AJ12" s="63">
        <f>'inv plan efter år 2024'!AJ70</f>
        <v>0</v>
      </c>
      <c r="AK12" s="63">
        <f>'inv plan efter år 2024'!AK70</f>
        <v>0</v>
      </c>
      <c r="AL12" s="63">
        <f>'inv plan efter år 2024'!AL70</f>
        <v>0</v>
      </c>
      <c r="AM12" s="62">
        <f>'inv plan efter år 2024'!AM70</f>
        <v>0</v>
      </c>
      <c r="AN12" s="64">
        <f>'inv plan efter år 2024'!AN70</f>
        <v>0</v>
      </c>
      <c r="AO12" s="64">
        <f>'inv plan efter år 2024'!AO70</f>
        <v>0</v>
      </c>
      <c r="AP12" s="64">
        <f>'inv plan efter år 2024'!AP70</f>
        <v>0</v>
      </c>
      <c r="AQ12" s="64">
        <f>'inv plan efter år 2024'!AQ70</f>
        <v>0</v>
      </c>
      <c r="AR12" s="64">
        <f>'inv plan efter år 2024'!AR70</f>
        <v>0</v>
      </c>
      <c r="AS12" s="64">
        <f>'inv plan efter år 2024'!AS70</f>
        <v>0</v>
      </c>
      <c r="AT12" s="64">
        <f>'inv plan efter år 2024'!AT70</f>
        <v>0</v>
      </c>
      <c r="AU12" s="64">
        <f>'inv plan efter år 2024'!AU70</f>
        <v>0</v>
      </c>
      <c r="AV12" s="64" t="e">
        <f>'inv plan efter år 2024'!AV70</f>
        <v>#REF!</v>
      </c>
      <c r="AW12" s="64" t="e">
        <f>'inv plan efter år 2024'!AW70</f>
        <v>#REF!</v>
      </c>
      <c r="AX12" s="64">
        <f>'inv plan efter år 2024'!AX70</f>
        <v>0</v>
      </c>
      <c r="AY12" s="64">
        <f>'inv plan efter år 2024'!AY70</f>
        <v>0</v>
      </c>
      <c r="AZ12" s="64">
        <f>'inv plan efter år 2024'!AZ70</f>
        <v>0</v>
      </c>
      <c r="BA12" s="64">
        <f>'inv plan efter år 2024'!BA70</f>
        <v>0</v>
      </c>
      <c r="BB12" s="64">
        <f>'inv plan efter år 2024'!BB70</f>
        <v>0</v>
      </c>
      <c r="BC12" s="64">
        <f>'inv plan efter år 2024'!BC70</f>
        <v>0</v>
      </c>
      <c r="BD12" s="64">
        <f>'inv plan efter år 2024'!BD70</f>
        <v>0</v>
      </c>
      <c r="BE12" s="64">
        <f>'inv plan efter år 2024'!BE70</f>
        <v>0</v>
      </c>
      <c r="BF12" s="64">
        <f>'inv plan efter år 2024'!BF70</f>
        <v>0</v>
      </c>
      <c r="BG12" s="64">
        <f>'inv plan efter år 2024'!BG70</f>
        <v>0</v>
      </c>
      <c r="BH12" s="64">
        <f>'inv plan efter år 2024'!BH70</f>
        <v>0</v>
      </c>
      <c r="BJ12" s="66"/>
      <c r="BL12" s="67"/>
      <c r="BM12" s="34"/>
    </row>
    <row r="13" spans="1:65" s="4" customFormat="1" ht="16" hidden="1" x14ac:dyDescent="0.2">
      <c r="A13" s="57"/>
      <c r="D13" s="68"/>
      <c r="E13" s="74"/>
      <c r="F13" s="74"/>
      <c r="G13" s="74"/>
      <c r="H13" s="69"/>
      <c r="I13" s="70" t="s">
        <v>53</v>
      </c>
      <c r="J13" s="71"/>
      <c r="K13" s="73">
        <f t="shared" ref="K13:X13" si="14">K8+K9+K10+K11+K12</f>
        <v>204500</v>
      </c>
      <c r="L13" s="73">
        <f t="shared" si="14"/>
        <v>244500</v>
      </c>
      <c r="M13" s="73">
        <f t="shared" si="14"/>
        <v>184000</v>
      </c>
      <c r="N13" s="73">
        <f t="shared" si="14"/>
        <v>149700</v>
      </c>
      <c r="O13" s="73">
        <f t="shared" si="14"/>
        <v>578200</v>
      </c>
      <c r="P13" s="73">
        <f t="shared" si="14"/>
        <v>148000</v>
      </c>
      <c r="Q13" s="73">
        <f t="shared" si="14"/>
        <v>160000</v>
      </c>
      <c r="R13" s="73">
        <f t="shared" si="14"/>
        <v>163000</v>
      </c>
      <c r="S13" s="73">
        <f t="shared" si="14"/>
        <v>150000</v>
      </c>
      <c r="T13" s="73">
        <f t="shared" si="14"/>
        <v>150000</v>
      </c>
      <c r="U13" s="73">
        <f t="shared" si="14"/>
        <v>150000</v>
      </c>
      <c r="V13" s="73">
        <f t="shared" si="14"/>
        <v>150000</v>
      </c>
      <c r="W13" s="73">
        <f t="shared" si="14"/>
        <v>1649200</v>
      </c>
      <c r="X13" s="73">
        <f t="shared" si="14"/>
        <v>1853700</v>
      </c>
      <c r="Y13" s="73"/>
      <c r="Z13" s="73"/>
      <c r="AA13" s="73"/>
      <c r="AB13" s="73">
        <f t="shared" ref="AB13:BH13" si="15">AB8+AB9+AB10+AB11+AB12</f>
        <v>0</v>
      </c>
      <c r="AC13" s="73">
        <f t="shared" si="15"/>
        <v>0</v>
      </c>
      <c r="AD13" s="73">
        <f t="shared" si="15"/>
        <v>0</v>
      </c>
      <c r="AE13" s="73">
        <f t="shared" si="15"/>
        <v>0</v>
      </c>
      <c r="AF13" s="73">
        <f t="shared" si="15"/>
        <v>0</v>
      </c>
      <c r="AG13" s="73">
        <f t="shared" si="15"/>
        <v>0</v>
      </c>
      <c r="AH13" s="73">
        <f t="shared" si="15"/>
        <v>0</v>
      </c>
      <c r="AI13" s="73">
        <f t="shared" si="15"/>
        <v>0</v>
      </c>
      <c r="AJ13" s="73">
        <f t="shared" si="15"/>
        <v>0</v>
      </c>
      <c r="AK13" s="73">
        <f t="shared" si="15"/>
        <v>0</v>
      </c>
      <c r="AL13" s="73">
        <f t="shared" si="15"/>
        <v>0</v>
      </c>
      <c r="AM13" s="73">
        <f t="shared" si="15"/>
        <v>0</v>
      </c>
      <c r="AN13" s="73">
        <f t="shared" si="15"/>
        <v>7000</v>
      </c>
      <c r="AO13" s="73" t="e">
        <f t="shared" si="15"/>
        <v>#REF!</v>
      </c>
      <c r="AP13" s="73" t="e">
        <f t="shared" si="15"/>
        <v>#REF!</v>
      </c>
      <c r="AQ13" s="73" t="e">
        <f t="shared" si="15"/>
        <v>#REF!</v>
      </c>
      <c r="AR13" s="73" t="e">
        <f t="shared" si="15"/>
        <v>#REF!</v>
      </c>
      <c r="AS13" s="73" t="e">
        <f t="shared" si="15"/>
        <v>#REF!</v>
      </c>
      <c r="AT13" s="73" t="e">
        <f t="shared" si="15"/>
        <v>#REF!</v>
      </c>
      <c r="AU13" s="73" t="e">
        <f t="shared" si="15"/>
        <v>#REF!</v>
      </c>
      <c r="AV13" s="73" t="e">
        <f t="shared" si="15"/>
        <v>#REF!</v>
      </c>
      <c r="AW13" s="73" t="e">
        <f t="shared" si="15"/>
        <v>#REF!</v>
      </c>
      <c r="AX13" s="73">
        <f t="shared" si="15"/>
        <v>0</v>
      </c>
      <c r="AY13" s="73">
        <f t="shared" si="15"/>
        <v>0</v>
      </c>
      <c r="AZ13" s="73">
        <f t="shared" si="15"/>
        <v>0</v>
      </c>
      <c r="BA13" s="73">
        <f t="shared" si="15"/>
        <v>0</v>
      </c>
      <c r="BB13" s="73">
        <f t="shared" si="15"/>
        <v>0</v>
      </c>
      <c r="BC13" s="73">
        <f t="shared" si="15"/>
        <v>0</v>
      </c>
      <c r="BD13" s="73">
        <f t="shared" si="15"/>
        <v>0</v>
      </c>
      <c r="BE13" s="73">
        <f t="shared" si="15"/>
        <v>0</v>
      </c>
      <c r="BF13" s="73">
        <f t="shared" si="15"/>
        <v>0</v>
      </c>
      <c r="BG13" s="73">
        <f t="shared" si="15"/>
        <v>0</v>
      </c>
      <c r="BH13" s="73">
        <f t="shared" si="15"/>
        <v>0</v>
      </c>
      <c r="BJ13" s="66"/>
      <c r="BL13" s="67"/>
      <c r="BM13" s="34"/>
    </row>
    <row r="14" spans="1:65" s="4" customFormat="1" ht="16" hidden="1" x14ac:dyDescent="0.2">
      <c r="A14" s="57"/>
      <c r="D14" s="68"/>
      <c r="E14" s="74"/>
      <c r="F14" s="74"/>
      <c r="G14" s="74"/>
      <c r="H14" s="59"/>
      <c r="I14" s="70" t="s">
        <v>56</v>
      </c>
      <c r="J14" s="71"/>
      <c r="K14" s="72" t="e">
        <f t="shared" ref="K14:X14" si="16">K7+K13</f>
        <v>#REF!</v>
      </c>
      <c r="L14" s="73">
        <f t="shared" si="16"/>
        <v>1498334</v>
      </c>
      <c r="M14" s="73">
        <f t="shared" si="16"/>
        <v>1035406</v>
      </c>
      <c r="N14" s="73">
        <f t="shared" si="16"/>
        <v>817477</v>
      </c>
      <c r="O14" s="73">
        <f t="shared" si="16"/>
        <v>3351217</v>
      </c>
      <c r="P14" s="73">
        <f t="shared" si="16"/>
        <v>790422</v>
      </c>
      <c r="Q14" s="73">
        <f t="shared" si="16"/>
        <v>587200</v>
      </c>
      <c r="R14" s="73">
        <f t="shared" si="16"/>
        <v>478974</v>
      </c>
      <c r="S14" s="73">
        <f t="shared" si="16"/>
        <v>212500</v>
      </c>
      <c r="T14" s="73">
        <f t="shared" si="16"/>
        <v>185000</v>
      </c>
      <c r="U14" s="73">
        <f t="shared" si="16"/>
        <v>155000</v>
      </c>
      <c r="V14" s="73">
        <f t="shared" si="16"/>
        <v>150000</v>
      </c>
      <c r="W14" s="73">
        <f t="shared" si="16"/>
        <v>5910313</v>
      </c>
      <c r="X14" s="73" t="e">
        <f t="shared" si="16"/>
        <v>#REF!</v>
      </c>
      <c r="Y14" s="73"/>
      <c r="Z14" s="73"/>
      <c r="AA14" s="73"/>
      <c r="AB14" s="73" t="e">
        <f t="shared" ref="AB14:BH14" si="17">AB7+AB13</f>
        <v>#REF!</v>
      </c>
      <c r="AC14" s="73" t="e">
        <f t="shared" si="17"/>
        <v>#REF!</v>
      </c>
      <c r="AD14" s="73" t="e">
        <f t="shared" si="17"/>
        <v>#REF!</v>
      </c>
      <c r="AE14" s="73" t="e">
        <f t="shared" si="17"/>
        <v>#REF!</v>
      </c>
      <c r="AF14" s="73" t="e">
        <f t="shared" si="17"/>
        <v>#REF!</v>
      </c>
      <c r="AG14" s="73" t="e">
        <f t="shared" si="17"/>
        <v>#REF!</v>
      </c>
      <c r="AH14" s="73" t="e">
        <f t="shared" si="17"/>
        <v>#REF!</v>
      </c>
      <c r="AI14" s="73" t="e">
        <f t="shared" si="17"/>
        <v>#REF!</v>
      </c>
      <c r="AJ14" s="73" t="e">
        <f t="shared" si="17"/>
        <v>#REF!</v>
      </c>
      <c r="AK14" s="73" t="e">
        <f t="shared" si="17"/>
        <v>#REF!</v>
      </c>
      <c r="AL14" s="73" t="e">
        <f t="shared" si="17"/>
        <v>#REF!</v>
      </c>
      <c r="AM14" s="73" t="e">
        <f t="shared" si="17"/>
        <v>#REF!</v>
      </c>
      <c r="AN14" s="73" t="e">
        <f t="shared" si="17"/>
        <v>#REF!</v>
      </c>
      <c r="AO14" s="73" t="e">
        <f t="shared" si="17"/>
        <v>#REF!</v>
      </c>
      <c r="AP14" s="73" t="e">
        <f t="shared" si="17"/>
        <v>#REF!</v>
      </c>
      <c r="AQ14" s="73" t="e">
        <f t="shared" si="17"/>
        <v>#REF!</v>
      </c>
      <c r="AR14" s="73" t="e">
        <f t="shared" si="17"/>
        <v>#REF!</v>
      </c>
      <c r="AS14" s="73" t="e">
        <f t="shared" si="17"/>
        <v>#REF!</v>
      </c>
      <c r="AT14" s="73" t="e">
        <f t="shared" si="17"/>
        <v>#REF!</v>
      </c>
      <c r="AU14" s="73" t="e">
        <f t="shared" si="17"/>
        <v>#REF!</v>
      </c>
      <c r="AV14" s="73" t="e">
        <f t="shared" si="17"/>
        <v>#REF!</v>
      </c>
      <c r="AW14" s="73" t="e">
        <f t="shared" si="17"/>
        <v>#REF!</v>
      </c>
      <c r="AX14" s="73" t="e">
        <f t="shared" si="17"/>
        <v>#REF!</v>
      </c>
      <c r="AY14" s="73" t="e">
        <f t="shared" si="17"/>
        <v>#REF!</v>
      </c>
      <c r="AZ14" s="73" t="e">
        <f t="shared" si="17"/>
        <v>#REF!</v>
      </c>
      <c r="BA14" s="73" t="e">
        <f t="shared" si="17"/>
        <v>#REF!</v>
      </c>
      <c r="BB14" s="73" t="e">
        <f t="shared" si="17"/>
        <v>#REF!</v>
      </c>
      <c r="BC14" s="73" t="e">
        <f t="shared" si="17"/>
        <v>#REF!</v>
      </c>
      <c r="BD14" s="73" t="e">
        <f t="shared" si="17"/>
        <v>#REF!</v>
      </c>
      <c r="BE14" s="73" t="e">
        <f t="shared" si="17"/>
        <v>#REF!</v>
      </c>
      <c r="BF14" s="73" t="e">
        <f t="shared" si="17"/>
        <v>#REF!</v>
      </c>
      <c r="BG14" s="73" t="e">
        <f t="shared" si="17"/>
        <v>#REF!</v>
      </c>
      <c r="BH14" s="73" t="e">
        <f t="shared" si="17"/>
        <v>#REF!</v>
      </c>
      <c r="BJ14" s="66"/>
      <c r="BL14" s="67"/>
      <c r="BM14" s="34"/>
    </row>
    <row r="15" spans="1:65" ht="18" hidden="1" x14ac:dyDescent="0.2">
      <c r="D15" s="58"/>
      <c r="E15" s="74"/>
      <c r="F15" s="74"/>
      <c r="G15" s="74"/>
      <c r="H15" s="59"/>
      <c r="I15" s="389"/>
      <c r="J15" s="390"/>
      <c r="K15" s="60" t="e">
        <f t="shared" ref="K15:U15" si="18">K14-K33</f>
        <v>#REF!</v>
      </c>
      <c r="L15" s="60">
        <f t="shared" si="18"/>
        <v>0</v>
      </c>
      <c r="M15" s="60">
        <f t="shared" si="18"/>
        <v>0</v>
      </c>
      <c r="N15" s="60">
        <f t="shared" si="18"/>
        <v>0</v>
      </c>
      <c r="O15" s="61">
        <f t="shared" si="18"/>
        <v>0</v>
      </c>
      <c r="P15" s="60">
        <f t="shared" si="18"/>
        <v>0</v>
      </c>
      <c r="Q15" s="60">
        <f t="shared" si="18"/>
        <v>0</v>
      </c>
      <c r="R15" s="60">
        <f t="shared" si="18"/>
        <v>0</v>
      </c>
      <c r="S15" s="60">
        <f t="shared" si="18"/>
        <v>0</v>
      </c>
      <c r="T15" s="60">
        <f t="shared" si="18"/>
        <v>0</v>
      </c>
      <c r="U15" s="60">
        <f t="shared" si="18"/>
        <v>0</v>
      </c>
      <c r="V15" s="60"/>
      <c r="W15" s="61">
        <f>W14-W33</f>
        <v>0</v>
      </c>
      <c r="X15" s="60" t="e">
        <f>X14-X33</f>
        <v>#REF!</v>
      </c>
      <c r="Y15" s="60"/>
      <c r="Z15" s="60"/>
      <c r="AA15" s="60"/>
      <c r="AB15" s="62" t="e">
        <f t="shared" ref="AB15:BH15" si="19">AB14-AB33</f>
        <v>#REF!</v>
      </c>
      <c r="AC15" s="63" t="e">
        <f t="shared" si="19"/>
        <v>#REF!</v>
      </c>
      <c r="AD15" s="63" t="e">
        <f t="shared" si="19"/>
        <v>#REF!</v>
      </c>
      <c r="AE15" s="63" t="e">
        <f t="shared" si="19"/>
        <v>#REF!</v>
      </c>
      <c r="AF15" s="63" t="e">
        <f t="shared" si="19"/>
        <v>#REF!</v>
      </c>
      <c r="AG15" s="63" t="e">
        <f t="shared" si="19"/>
        <v>#REF!</v>
      </c>
      <c r="AH15" s="63" t="e">
        <f t="shared" si="19"/>
        <v>#REF!</v>
      </c>
      <c r="AI15" s="63" t="e">
        <f t="shared" si="19"/>
        <v>#REF!</v>
      </c>
      <c r="AJ15" s="63" t="e">
        <f t="shared" si="19"/>
        <v>#REF!</v>
      </c>
      <c r="AK15" s="63" t="e">
        <f t="shared" si="19"/>
        <v>#REF!</v>
      </c>
      <c r="AL15" s="63" t="e">
        <f t="shared" si="19"/>
        <v>#REF!</v>
      </c>
      <c r="AM15" s="62" t="e">
        <f t="shared" si="19"/>
        <v>#REF!</v>
      </c>
      <c r="AN15" s="64" t="e">
        <f t="shared" si="19"/>
        <v>#REF!</v>
      </c>
      <c r="AO15" s="64" t="e">
        <f t="shared" si="19"/>
        <v>#REF!</v>
      </c>
      <c r="AP15" s="64" t="e">
        <f t="shared" si="19"/>
        <v>#REF!</v>
      </c>
      <c r="AQ15" s="64" t="e">
        <f t="shared" si="19"/>
        <v>#REF!</v>
      </c>
      <c r="AR15" s="64" t="e">
        <f t="shared" si="19"/>
        <v>#REF!</v>
      </c>
      <c r="AS15" s="64" t="e">
        <f t="shared" si="19"/>
        <v>#REF!</v>
      </c>
      <c r="AT15" s="64" t="e">
        <f t="shared" si="19"/>
        <v>#REF!</v>
      </c>
      <c r="AU15" s="64" t="e">
        <f t="shared" si="19"/>
        <v>#REF!</v>
      </c>
      <c r="AV15" s="64" t="e">
        <f t="shared" si="19"/>
        <v>#REF!</v>
      </c>
      <c r="AW15" s="64" t="e">
        <f t="shared" si="19"/>
        <v>#REF!</v>
      </c>
      <c r="AX15" s="65" t="e">
        <f t="shared" si="19"/>
        <v>#REF!</v>
      </c>
      <c r="AY15" s="65" t="e">
        <f t="shared" si="19"/>
        <v>#REF!</v>
      </c>
      <c r="AZ15" s="65" t="e">
        <f t="shared" si="19"/>
        <v>#REF!</v>
      </c>
      <c r="BA15" s="65" t="e">
        <f t="shared" si="19"/>
        <v>#REF!</v>
      </c>
      <c r="BB15" s="65" t="e">
        <f t="shared" si="19"/>
        <v>#REF!</v>
      </c>
      <c r="BC15" s="65" t="e">
        <f t="shared" si="19"/>
        <v>#REF!</v>
      </c>
      <c r="BD15" s="65" t="e">
        <f t="shared" si="19"/>
        <v>#REF!</v>
      </c>
      <c r="BE15" s="65" t="e">
        <f t="shared" si="19"/>
        <v>#REF!</v>
      </c>
      <c r="BF15" s="65" t="e">
        <f t="shared" si="19"/>
        <v>#REF!</v>
      </c>
      <c r="BG15" s="65" t="e">
        <f t="shared" si="19"/>
        <v>#REF!</v>
      </c>
      <c r="BH15" s="65" t="e">
        <f t="shared" si="19"/>
        <v>#REF!</v>
      </c>
      <c r="BJ15" s="66"/>
      <c r="BL15" s="67"/>
      <c r="BM15" s="34"/>
    </row>
    <row r="16" spans="1:65" s="41" customFormat="1" ht="18" x14ac:dyDescent="0.2">
      <c r="A16" s="104"/>
      <c r="C16"/>
      <c r="D16" s="58"/>
      <c r="E16" s="74"/>
      <c r="F16" s="74"/>
      <c r="G16" s="93"/>
      <c r="H16" s="59"/>
      <c r="I16" s="106"/>
      <c r="J16" s="107"/>
      <c r="K16" s="108"/>
      <c r="L16" s="108"/>
      <c r="M16" s="108"/>
      <c r="N16" s="108"/>
      <c r="O16" s="98"/>
      <c r="P16" s="108"/>
      <c r="Q16" s="108"/>
      <c r="R16" s="108"/>
      <c r="S16" s="108"/>
      <c r="T16" s="108"/>
      <c r="U16" s="108"/>
      <c r="V16" s="108"/>
      <c r="W16" s="9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9"/>
      <c r="BJ16" s="110"/>
      <c r="BL16" s="111"/>
      <c r="BM16" s="112"/>
    </row>
    <row r="17" spans="1:65" s="67" customFormat="1" ht="70.5" customHeight="1" x14ac:dyDescent="0.2">
      <c r="A17" s="398" t="s">
        <v>507</v>
      </c>
      <c r="B17" s="399"/>
      <c r="C17" s="399"/>
      <c r="D17" s="399"/>
      <c r="E17" s="399"/>
      <c r="F17" s="74"/>
      <c r="G17" s="74"/>
      <c r="H17" s="93"/>
      <c r="I17" s="343" t="s">
        <v>150</v>
      </c>
      <c r="J17" s="115" t="s">
        <v>151</v>
      </c>
      <c r="K17" s="51" t="s">
        <v>6</v>
      </c>
      <c r="L17" s="51" t="s">
        <v>7</v>
      </c>
      <c r="M17" s="51" t="s">
        <v>8</v>
      </c>
      <c r="N17" s="51" t="s">
        <v>9</v>
      </c>
      <c r="O17" s="51" t="s">
        <v>10</v>
      </c>
      <c r="P17" s="51" t="s">
        <v>11</v>
      </c>
      <c r="Q17" s="51" t="s">
        <v>12</v>
      </c>
      <c r="R17" s="51" t="s">
        <v>13</v>
      </c>
      <c r="S17" s="51" t="s">
        <v>14</v>
      </c>
      <c r="T17" s="51" t="s">
        <v>15</v>
      </c>
      <c r="U17" s="51" t="s">
        <v>16</v>
      </c>
      <c r="V17" s="51" t="s">
        <v>17</v>
      </c>
      <c r="W17" s="51" t="s">
        <v>132</v>
      </c>
      <c r="X17" s="51" t="s">
        <v>133</v>
      </c>
      <c r="Y17" s="51" t="s">
        <v>5</v>
      </c>
      <c r="Z17" s="52" t="s">
        <v>134</v>
      </c>
      <c r="AA17" s="51" t="s">
        <v>135</v>
      </c>
      <c r="AB17" s="116" t="s">
        <v>136</v>
      </c>
      <c r="AC17" s="117" t="s">
        <v>78</v>
      </c>
      <c r="AD17" s="117" t="s">
        <v>79</v>
      </c>
      <c r="AE17" s="117" t="s">
        <v>80</v>
      </c>
      <c r="AF17" s="117" t="s">
        <v>81</v>
      </c>
      <c r="AG17" s="117" t="s">
        <v>82</v>
      </c>
      <c r="AH17" s="117" t="s">
        <v>83</v>
      </c>
      <c r="AI17" s="117" t="s">
        <v>84</v>
      </c>
      <c r="AJ17" s="117" t="s">
        <v>85</v>
      </c>
      <c r="AK17" s="117" t="s">
        <v>86</v>
      </c>
      <c r="AL17" s="117" t="s">
        <v>87</v>
      </c>
      <c r="AM17" s="116" t="s">
        <v>88</v>
      </c>
      <c r="AN17" s="116" t="s">
        <v>89</v>
      </c>
      <c r="AO17" s="116" t="s">
        <v>90</v>
      </c>
      <c r="AP17" s="116" t="s">
        <v>91</v>
      </c>
      <c r="AQ17" s="116" t="s">
        <v>92</v>
      </c>
      <c r="AR17" s="116" t="s">
        <v>93</v>
      </c>
      <c r="AS17" s="116" t="s">
        <v>94</v>
      </c>
      <c r="AT17" s="116" t="s">
        <v>95</v>
      </c>
      <c r="AU17" s="116" t="s">
        <v>96</v>
      </c>
      <c r="AV17" s="116" t="s">
        <v>97</v>
      </c>
      <c r="AW17" s="116" t="s">
        <v>98</v>
      </c>
      <c r="AX17" s="118" t="s">
        <v>137</v>
      </c>
      <c r="AY17" s="118" t="s">
        <v>138</v>
      </c>
      <c r="AZ17" s="118" t="s">
        <v>139</v>
      </c>
      <c r="BA17" s="118" t="s">
        <v>140</v>
      </c>
      <c r="BB17" s="118" t="s">
        <v>141</v>
      </c>
      <c r="BC17" s="118" t="s">
        <v>142</v>
      </c>
      <c r="BD17" s="118" t="s">
        <v>143</v>
      </c>
      <c r="BE17" s="118" t="s">
        <v>144</v>
      </c>
      <c r="BF17" s="118" t="s">
        <v>145</v>
      </c>
      <c r="BG17" s="118" t="s">
        <v>146</v>
      </c>
      <c r="BH17" s="118" t="s">
        <v>147</v>
      </c>
      <c r="BI17" s="3"/>
      <c r="BJ17" s="3"/>
    </row>
    <row r="18" spans="1:65" s="140" customFormat="1" ht="18" hidden="1" x14ac:dyDescent="0.2">
      <c r="A18" s="135"/>
      <c r="B18" s="136"/>
      <c r="C18" s="136"/>
      <c r="D18" s="137"/>
      <c r="E18" s="136"/>
      <c r="F18" s="136"/>
      <c r="G18" s="136"/>
      <c r="H18" s="131"/>
      <c r="I18" s="389" t="s">
        <v>152</v>
      </c>
      <c r="J18" s="390"/>
      <c r="K18" s="60">
        <f>K45+'inv plan efter år 2024'!K20+K49+K50+K51+K52+K53+K54+K68+K69+K70+K71+K72+K73+K74+K75+K80+K87</f>
        <v>9500</v>
      </c>
      <c r="L18" s="60">
        <f>L45+'inv plan efter år 2024'!L20+L49+L50+L51+L52+L53+L54+L68+L69+L70+L71+L72+L73+L74+L75+L80+L87</f>
        <v>161000</v>
      </c>
      <c r="M18" s="60">
        <f>M45+'inv plan efter år 2024'!M20+M49+M50+M51+M52+M53+M54+M68+M69+M70+M71+M72+M73+M74+M75+M80+M87</f>
        <v>152500</v>
      </c>
      <c r="N18" s="60">
        <f>N45+'inv plan efter år 2024'!N20+N49+N50+N51+N52+N53+N54+N68+N69+N70+N71+N72+N73+N74+N75+N80+N87</f>
        <v>165000</v>
      </c>
      <c r="O18" s="61">
        <f>O45+'inv plan efter år 2024'!O20+O49+O50+O51+O52+O53+O54+O68+O69+O70+O71+O72+O73+O74+O75+O80+O87</f>
        <v>478500</v>
      </c>
      <c r="P18" s="60">
        <f>P45+'inv plan efter år 2024'!P20+P49+P50+P51+P52+P53+P54+P68+P69+P70+P71+P72+P73+P74+P75+P80+P87</f>
        <v>175000</v>
      </c>
      <c r="Q18" s="60">
        <f>Q45+'inv plan efter år 2024'!Q20+Q49+Q50+Q51+Q52+Q53+Q54+Q68+Q69+Q70+Q71+Q72+Q73+Q74+Q75+Q80+Q87</f>
        <v>150500</v>
      </c>
      <c r="R18" s="60">
        <f>R45+'inv plan efter år 2024'!R20+R49+R50+R51+R52+R53+R54+R68+R69+R70+R71+R72+R73+R74+R75+R80+R87</f>
        <v>200000</v>
      </c>
      <c r="S18" s="60">
        <f>S45+'inv plan efter år 2024'!S20+S49+S50+S51+S52+S53+S54+S68+S69+S70+S71+S72+S73+S74+S75+S80+S87</f>
        <v>62500</v>
      </c>
      <c r="T18" s="60">
        <f>T45+'inv plan efter år 2024'!T20+T49+T50+T51+T52+T53+T54+T68+T69+T70+T71+T72+T73+T74+T75+T80+T87</f>
        <v>35000</v>
      </c>
      <c r="U18" s="60">
        <f>U45+'inv plan efter år 2024'!U20+U49+U50+U51+U52+U53+U54+U68+U69+U70+U71+U72+U73+U74+U75+U80+U87</f>
        <v>5000</v>
      </c>
      <c r="V18" s="60">
        <f>V45+'inv plan efter år 2024'!V20+V49+V50+V51+V52+V53+V54+V68+V69+V70+V71+V72+V73+V74+V75+V80+V87</f>
        <v>0</v>
      </c>
      <c r="W18" s="61">
        <f>W45+'inv plan efter år 2024'!W20+W49+W50+W51+W52+W53+W54+W68+W69+W70+W71+W72+W73+W74+W75+W80+W87</f>
        <v>1106500</v>
      </c>
      <c r="X18" s="60">
        <f>X45+'inv plan efter år 2024'!X20+X49+X50+X51+X52+X53+X54+X68+X69+X70+X71+X72+X73+X74+X75+X80+X87</f>
        <v>1116000</v>
      </c>
      <c r="Y18" s="60"/>
      <c r="Z18" s="60"/>
      <c r="AA18" s="139"/>
      <c r="AB18" s="139" t="e">
        <f>AB45+'inv plan efter år 2024'!AB20+AB49+'inv plan efter år 2024'!AB21+AB50+'inv plan efter år 2024'!AB22+'inv plan efter år 2024'!AB23+AB51+AB52+AB53+'inv plan efter år 2024'!AB24+'inv plan efter år 2024'!AB25+AB54+AB68+AB69+'Inv plan 2018-2027 underlag RPB'!AB70+AB71+AB72+AB73+AB74+'inv plan efter år 2024'!AB37+AB75+AB80+'inv plan efter år 2024'!AB41+'inv plan efter år 2024'!AB42+'inv plan efter år 2024'!AB43+'inv plan efter år 2024'!AB44+'inv plan efter år 2024'!AB45+#REF!+'inv plan efter år 2024'!AB58+'inv plan efter år 2024'!AB59+'inv plan efter år 2024'!AB60+'inv plan efter år 2024'!AB61+'inv plan efter år 2024'!AB62+'inv plan efter år 2024'!AB63+'inv plan efter år 2024'!AB64+'inv plan efter år 2024'!AB65+'inv plan efter år 2024'!AB66</f>
        <v>#REF!</v>
      </c>
      <c r="AC18" s="139" t="e">
        <f>AC45+'inv plan efter år 2024'!AC20+AC49+'inv plan efter år 2024'!AC21+AC50+'inv plan efter år 2024'!AC22+'inv plan efter år 2024'!AC23+AC51+AC52+AC53+'inv plan efter år 2024'!AC24+'inv plan efter år 2024'!AC25+AC54+AC68+AC69+'Inv plan 2018-2027 underlag RPB'!AC70+AC71+AC72+AC73+AC74+'inv plan efter år 2024'!AC37+AC75+AC80+'inv plan efter år 2024'!AC41+'inv plan efter år 2024'!AC42+'inv plan efter år 2024'!AC43+'inv plan efter år 2024'!AC44+'inv plan efter år 2024'!AC45+#REF!+'inv plan efter år 2024'!AC58+'inv plan efter år 2024'!AC59+'inv plan efter år 2024'!AC60+'inv plan efter år 2024'!AC61+'inv plan efter år 2024'!AC62+'inv plan efter år 2024'!AC63+'inv plan efter år 2024'!AC64+'inv plan efter år 2024'!AC65+'inv plan efter år 2024'!AC66</f>
        <v>#REF!</v>
      </c>
      <c r="AD18" s="139" t="e">
        <f>AD45+'inv plan efter år 2024'!AD20+AD49+'inv plan efter år 2024'!AD21+AD50+'inv plan efter år 2024'!AD22+'inv plan efter år 2024'!AD23+AD51+AD52+AD53+'inv plan efter år 2024'!AD24+'inv plan efter år 2024'!AD25+AD54+AD68+AD69+'Inv plan 2018-2027 underlag RPB'!AD70+AD71+AD72+AD73+AD74+'inv plan efter år 2024'!AD37+AD75+AD80+'inv plan efter år 2024'!AD41+'inv plan efter år 2024'!AD42+'inv plan efter år 2024'!AD43+'inv plan efter år 2024'!AD44+'inv plan efter år 2024'!AD45+#REF!+'inv plan efter år 2024'!AD58+'inv plan efter år 2024'!AD59+'inv plan efter år 2024'!AD60+'inv plan efter år 2024'!AD61+'inv plan efter år 2024'!AD62+'inv plan efter år 2024'!AD63+'inv plan efter år 2024'!AD64+'inv plan efter år 2024'!AD65+'inv plan efter år 2024'!AD66</f>
        <v>#REF!</v>
      </c>
      <c r="AE18" s="139" t="e">
        <f>AE45+'inv plan efter år 2024'!AE20+AE49+'inv plan efter år 2024'!AE21+AE50+'inv plan efter år 2024'!AE22+'inv plan efter år 2024'!AE23+AE51+AE52+AE53+'inv plan efter år 2024'!AE24+'inv plan efter år 2024'!AE25+AE54+AE68+AE69+'Inv plan 2018-2027 underlag RPB'!AE70+AE71+AE72+AE73+AE74+'inv plan efter år 2024'!AE37+AE75+AE80+'inv plan efter år 2024'!AE41+'inv plan efter år 2024'!AE42+'inv plan efter år 2024'!AE43+'inv plan efter år 2024'!AE44+'inv plan efter år 2024'!AE45+#REF!+'inv plan efter år 2024'!AE58+'inv plan efter år 2024'!AE59+'inv plan efter år 2024'!AE60+'inv plan efter år 2024'!AE61+'inv plan efter år 2024'!AE62+'inv plan efter år 2024'!AE63+'inv plan efter år 2024'!AE64+'inv plan efter år 2024'!AE65+'inv plan efter år 2024'!AE66</f>
        <v>#REF!</v>
      </c>
      <c r="AF18" s="139" t="e">
        <f>AF45+'inv plan efter år 2024'!AF20+AF49+'inv plan efter år 2024'!AF21+AF50+'inv plan efter år 2024'!AF22+'inv plan efter år 2024'!AF23+AF51+AF52+AF53+'inv plan efter år 2024'!AF24+'inv plan efter år 2024'!AF25+AF54+AF68+AF69+'Inv plan 2018-2027 underlag RPB'!AF70+AF71+AF72+AF73+AF74+'inv plan efter år 2024'!AF37+AF75+AF80+'inv plan efter år 2024'!AF41+'inv plan efter år 2024'!AF42+'inv plan efter år 2024'!AF43+'inv plan efter år 2024'!AF44+'inv plan efter år 2024'!AF45+#REF!+'inv plan efter år 2024'!AF58+'inv plan efter år 2024'!AF59+'inv plan efter år 2024'!AF60+'inv plan efter år 2024'!AF61+'inv plan efter år 2024'!AF62+'inv plan efter år 2024'!AF63+'inv plan efter år 2024'!AF64+'inv plan efter år 2024'!AF65+'inv plan efter år 2024'!AF66</f>
        <v>#REF!</v>
      </c>
      <c r="AG18" s="139" t="e">
        <f>AG45+'inv plan efter år 2024'!AG20+AG49+'inv plan efter år 2024'!AG21+AG50+'inv plan efter år 2024'!AG22+'inv plan efter år 2024'!AG23+AG51+AG52+AG53+'inv plan efter år 2024'!AG24+'inv plan efter år 2024'!AG25+AG54+AG68+AG69+'Inv plan 2018-2027 underlag RPB'!AG70+AG71+AG72+AG73+AG74+'inv plan efter år 2024'!AG37+AG75+AG80+'inv plan efter år 2024'!AG41+'inv plan efter år 2024'!AG42+'inv plan efter år 2024'!AG43+'inv plan efter år 2024'!AG44+'inv plan efter år 2024'!AG45+#REF!+'inv plan efter år 2024'!AG58+'inv plan efter år 2024'!AG59+'inv plan efter år 2024'!AG60+'inv plan efter år 2024'!AG61+'inv plan efter år 2024'!AG62+'inv plan efter år 2024'!AG63+'inv plan efter år 2024'!AG64+'inv plan efter år 2024'!AG65+'inv plan efter år 2024'!AG66</f>
        <v>#REF!</v>
      </c>
      <c r="AH18" s="139" t="e">
        <f>AH45+'inv plan efter år 2024'!AH20+AH49+'inv plan efter år 2024'!AH21+AH50+'inv plan efter år 2024'!AH22+'inv plan efter år 2024'!AH23+AH51+AH52+AH53+'inv plan efter år 2024'!AH24+'inv plan efter år 2024'!AH25+AH54+AH68+AH69+'Inv plan 2018-2027 underlag RPB'!AH70+AH71+AH72+AH73+AH74+'inv plan efter år 2024'!AH37+AH75+AH80+'inv plan efter år 2024'!AH41+'inv plan efter år 2024'!AH42+'inv plan efter år 2024'!AH43+'inv plan efter år 2024'!AH44+'inv plan efter år 2024'!AH45+#REF!+'inv plan efter år 2024'!AH58+'inv plan efter år 2024'!AH59+'inv plan efter år 2024'!AH60+'inv plan efter år 2024'!AH61+'inv plan efter år 2024'!AH62+'inv plan efter år 2024'!AH63+'inv plan efter år 2024'!AH64+'inv plan efter år 2024'!AH65+'inv plan efter år 2024'!AH66</f>
        <v>#REF!</v>
      </c>
      <c r="AI18" s="139" t="e">
        <f>AI45+'inv plan efter år 2024'!AI20+AI49+'inv plan efter år 2024'!AI21+AI50+'inv plan efter år 2024'!AI22+'inv plan efter år 2024'!AI23+AI51+AI52+AI53+'inv plan efter år 2024'!AI24+'inv plan efter år 2024'!AI25+AI54+AI68+AI69+'Inv plan 2018-2027 underlag RPB'!AI70+AI71+AI72+AI73+AI74+'inv plan efter år 2024'!AI37+AI75+AI80+'inv plan efter år 2024'!AI41+'inv plan efter år 2024'!AI42+'inv plan efter år 2024'!AI43+'inv plan efter år 2024'!AI44+'inv plan efter år 2024'!AI45+#REF!+'inv plan efter år 2024'!AI58+'inv plan efter år 2024'!AI59+'inv plan efter år 2024'!AI60+'inv plan efter år 2024'!AI61+'inv plan efter år 2024'!AI62+'inv plan efter år 2024'!AI63+'inv plan efter år 2024'!AI64+'inv plan efter år 2024'!AI65+'inv plan efter år 2024'!AI66</f>
        <v>#REF!</v>
      </c>
      <c r="AJ18" s="139" t="e">
        <f>AJ45+'inv plan efter år 2024'!AJ20+AJ49+'inv plan efter år 2024'!AJ21+AJ50+'inv plan efter år 2024'!AJ22+'inv plan efter år 2024'!AJ23+AJ51+AJ52+AJ53+'inv plan efter år 2024'!AJ24+'inv plan efter år 2024'!AJ25+AJ54+AJ68+AJ69+'Inv plan 2018-2027 underlag RPB'!AJ70+AJ71+AJ72+AJ73+AJ74+'inv plan efter år 2024'!AJ37+AJ75+AJ80+'inv plan efter år 2024'!AJ41+'inv plan efter år 2024'!AJ42+'inv plan efter år 2024'!AJ43+'inv plan efter år 2024'!AJ44+'inv plan efter år 2024'!AJ45+#REF!+'inv plan efter år 2024'!AJ58+'inv plan efter år 2024'!AJ59+'inv plan efter år 2024'!AJ60+'inv plan efter år 2024'!AJ61+'inv plan efter år 2024'!AJ62+'inv plan efter år 2024'!AJ63+'inv plan efter år 2024'!AJ64+'inv plan efter år 2024'!AJ65+'inv plan efter år 2024'!AJ66</f>
        <v>#REF!</v>
      </c>
      <c r="AK18" s="139" t="e">
        <f>AK45+'inv plan efter år 2024'!AK20+AK49+'inv plan efter år 2024'!AK21+AK50+'inv plan efter år 2024'!AK22+'inv plan efter år 2024'!AK23+AK51+AK52+AK53+'inv plan efter år 2024'!AK24+'inv plan efter år 2024'!AK25+AK54+AK68+AK69+'Inv plan 2018-2027 underlag RPB'!AK70+AK71+AK72+AK73+AK74+'inv plan efter år 2024'!AK37+AK75+AK80+'inv plan efter år 2024'!AK41+'inv plan efter år 2024'!AK42+'inv plan efter år 2024'!AK43+'inv plan efter år 2024'!AK44+'inv plan efter år 2024'!AK45+#REF!+'inv plan efter år 2024'!AK58+'inv plan efter år 2024'!AK59+'inv plan efter år 2024'!AK60+'inv plan efter år 2024'!AK61+'inv plan efter år 2024'!AK62+'inv plan efter år 2024'!AK63+'inv plan efter år 2024'!AK64+'inv plan efter år 2024'!AK65+'inv plan efter år 2024'!AK66</f>
        <v>#REF!</v>
      </c>
      <c r="AL18" s="139" t="e">
        <f>AL45+'inv plan efter år 2024'!AL20+AL49+'inv plan efter år 2024'!AL21+AL50+'inv plan efter år 2024'!AL22+'inv plan efter år 2024'!AL23+AL51+AL52+AL53+'inv plan efter år 2024'!AL24+'inv plan efter år 2024'!AL25+AL54+AL68+AL69+'Inv plan 2018-2027 underlag RPB'!AL70+AL71+AL72+AL73+AL74+'inv plan efter år 2024'!AL37+AL75+AL80+'inv plan efter år 2024'!AL41+'inv plan efter år 2024'!AL42+'inv plan efter år 2024'!AL43+'inv plan efter år 2024'!AL44+'inv plan efter år 2024'!AL45+#REF!+'inv plan efter år 2024'!AL58+'inv plan efter år 2024'!AL59+'inv plan efter år 2024'!AL60+'inv plan efter år 2024'!AL61+'inv plan efter år 2024'!AL62+'inv plan efter år 2024'!AL63+'inv plan efter år 2024'!AL64+'inv plan efter år 2024'!AL65+'inv plan efter år 2024'!AL66</f>
        <v>#REF!</v>
      </c>
      <c r="AM18" s="139" t="e">
        <f>AM45+'inv plan efter år 2024'!AM20+AM49+'inv plan efter år 2024'!AM21+AM50+'inv plan efter år 2024'!AM22+'inv plan efter år 2024'!AM23+AM51+AM52+AM53+'inv plan efter år 2024'!AM24+'inv plan efter år 2024'!AM25+AM54+AM68+AM69+'Inv plan 2018-2027 underlag RPB'!AM70+AM71+AM72+AM73+AM74+'inv plan efter år 2024'!AM37+AM75+AM80+'inv plan efter år 2024'!AM41+'inv plan efter år 2024'!AM42+'inv plan efter år 2024'!AM43+'inv plan efter år 2024'!AM44+'inv plan efter år 2024'!AM45+#REF!+'inv plan efter år 2024'!AM58+'inv plan efter år 2024'!AM59+'inv plan efter år 2024'!AM60+'inv plan efter år 2024'!AM61+'inv plan efter år 2024'!AM62+'inv plan efter år 2024'!AM63+'inv plan efter år 2024'!AM64+'inv plan efter år 2024'!AM65+'inv plan efter år 2024'!AM66</f>
        <v>#REF!</v>
      </c>
      <c r="AN18" s="139" t="e">
        <f>AN45+'inv plan efter år 2024'!AN20+AN49+'inv plan efter år 2024'!AN21+AN50+'inv plan efter år 2024'!AN22+'inv plan efter år 2024'!AN23+AN51+AN52+AN53+'inv plan efter år 2024'!AN24+'inv plan efter år 2024'!AN25+AN54+AN68+AN69+'Inv plan 2018-2027 underlag RPB'!AN70+AN71+AN72+AN73+AN74+'inv plan efter år 2024'!AN37+AN75+AN80+'inv plan efter år 2024'!AN41+'inv plan efter år 2024'!AN42+'inv plan efter år 2024'!AN43+'inv plan efter år 2024'!AN44+'inv plan efter år 2024'!AN45+#REF!+'inv plan efter år 2024'!AN58+'inv plan efter år 2024'!AN59+'inv plan efter år 2024'!AN60+'inv plan efter år 2024'!AN61+'inv plan efter år 2024'!AN62+'inv plan efter år 2024'!AN63+'inv plan efter år 2024'!AN64+'inv plan efter år 2024'!AN65+'inv plan efter år 2024'!AN66</f>
        <v>#REF!</v>
      </c>
      <c r="AO18" s="139" t="e">
        <f>AO45+'inv plan efter år 2024'!AO20+AO49+'inv plan efter år 2024'!AO21+AO50+'inv plan efter år 2024'!AO22+'inv plan efter år 2024'!AO23+AO51+AO52+AO53+'inv plan efter år 2024'!AO24+'inv plan efter år 2024'!AO25+AO54+AO68+AO69+'Inv plan 2018-2027 underlag RPB'!AO70+AO71+AO72+AO73+AO74+'inv plan efter år 2024'!AO37+AO75+AO80+'inv plan efter år 2024'!AO41+'inv plan efter år 2024'!AO42+'inv plan efter år 2024'!AO43+'inv plan efter år 2024'!AO44+'inv plan efter år 2024'!AO45+#REF!+'inv plan efter år 2024'!AO58+'inv plan efter år 2024'!AO59+'inv plan efter år 2024'!AO60+'inv plan efter år 2024'!AO61+'inv plan efter år 2024'!AO62+'inv plan efter år 2024'!AO63+'inv plan efter år 2024'!AO64+'inv plan efter år 2024'!AO65+'inv plan efter år 2024'!AO66</f>
        <v>#REF!</v>
      </c>
      <c r="AP18" s="139" t="e">
        <f>AP45+'inv plan efter år 2024'!AP20+AP49+'inv plan efter år 2024'!AP21+AP50+'inv plan efter år 2024'!AP22+'inv plan efter år 2024'!AP23+AP51+AP52+AP53+'inv plan efter år 2024'!AP24+'inv plan efter år 2024'!AP25+AP54+AP68+AP69+'Inv plan 2018-2027 underlag RPB'!AP70+AP71+AP72+AP73+AP74+'inv plan efter år 2024'!AP37+AP75+AP80+'inv plan efter år 2024'!AP41+'inv plan efter år 2024'!AP42+'inv plan efter år 2024'!AP43+'inv plan efter år 2024'!AP44+'inv plan efter år 2024'!AP45+#REF!+'inv plan efter år 2024'!AP58+'inv plan efter år 2024'!AP59+'inv plan efter år 2024'!AP60+'inv plan efter år 2024'!AP61+'inv plan efter år 2024'!AP62+'inv plan efter år 2024'!AP63+'inv plan efter år 2024'!AP64+'inv plan efter år 2024'!AP65+'inv plan efter år 2024'!AP66</f>
        <v>#REF!</v>
      </c>
      <c r="AQ18" s="139" t="e">
        <f>AQ45+'inv plan efter år 2024'!AQ20+AQ49+'inv plan efter år 2024'!AQ21+AQ50+'inv plan efter år 2024'!AQ22+'inv plan efter år 2024'!AQ23+AQ51+AQ52+AQ53+'inv plan efter år 2024'!AQ24+'inv plan efter år 2024'!AQ25+AQ54+AQ68+AQ69+'Inv plan 2018-2027 underlag RPB'!AQ70+AQ71+AQ72+AQ73+AQ74+'inv plan efter år 2024'!AQ37+AQ75+AQ80+'inv plan efter år 2024'!AQ41+'inv plan efter år 2024'!AQ42+'inv plan efter år 2024'!AQ43+'inv plan efter år 2024'!AQ44+'inv plan efter år 2024'!AQ45+#REF!+'inv plan efter år 2024'!AQ58+'inv plan efter år 2024'!AQ59+'inv plan efter år 2024'!AQ60+'inv plan efter år 2024'!AQ61+'inv plan efter år 2024'!AQ62+'inv plan efter år 2024'!AQ63+'inv plan efter år 2024'!AQ64+'inv plan efter år 2024'!AQ65+'inv plan efter år 2024'!AQ66</f>
        <v>#REF!</v>
      </c>
      <c r="AR18" s="139" t="e">
        <f>AR45+'inv plan efter år 2024'!AR20+AR49+'inv plan efter år 2024'!AR21+AR50+'inv plan efter år 2024'!AR22+'inv plan efter år 2024'!AR23+AR51+AR52+AR53+'inv plan efter år 2024'!AR24+'inv plan efter år 2024'!AR25+AR54+AR68+AR69+'Inv plan 2018-2027 underlag RPB'!AR70+AR71+AR72+AR73+AR74+'inv plan efter år 2024'!AR37+AR75+AR80+'inv plan efter år 2024'!AR41+'inv plan efter år 2024'!AR42+'inv plan efter år 2024'!AR43+'inv plan efter år 2024'!AR44+'inv plan efter år 2024'!AR45+#REF!+'inv plan efter år 2024'!AR58+'inv plan efter år 2024'!AR59+'inv plan efter år 2024'!AR60+'inv plan efter år 2024'!AR61+'inv plan efter år 2024'!AR62+'inv plan efter år 2024'!AR63+'inv plan efter år 2024'!AR64+'inv plan efter år 2024'!AR65+'inv plan efter år 2024'!AR66</f>
        <v>#REF!</v>
      </c>
      <c r="AS18" s="139" t="e">
        <f>AS45+'inv plan efter år 2024'!AS20+AS49+'inv plan efter år 2024'!AS21+AS50+'inv plan efter år 2024'!AS22+'inv plan efter år 2024'!AS23+AS51+AS52+AS53+'inv plan efter år 2024'!AS24+'inv plan efter år 2024'!AS25+AS54+AS68+AS69+'Inv plan 2018-2027 underlag RPB'!AS70+AS71+AS72+AS73+AS74+'inv plan efter år 2024'!AS37+AS75+AS80+'inv plan efter år 2024'!AS41+'inv plan efter år 2024'!AS42+'inv plan efter år 2024'!AS43+'inv plan efter år 2024'!AS44+'inv plan efter år 2024'!AS45+#REF!+'inv plan efter år 2024'!AS58+'inv plan efter år 2024'!AS59+'inv plan efter år 2024'!AS60+'inv plan efter år 2024'!AS61+'inv plan efter år 2024'!AS62+'inv plan efter år 2024'!AS63+'inv plan efter år 2024'!AS64+'inv plan efter år 2024'!AS65+'inv plan efter år 2024'!AS66</f>
        <v>#REF!</v>
      </c>
      <c r="AT18" s="139" t="e">
        <f>AT45+'inv plan efter år 2024'!AT20+AT49+'inv plan efter år 2024'!AT21+AT50+'inv plan efter år 2024'!AT22+'inv plan efter år 2024'!AT23+AT51+AT52+AT53+'inv plan efter år 2024'!AT24+'inv plan efter år 2024'!AT25+AT54+AT68+AT69+'Inv plan 2018-2027 underlag RPB'!AT70+AT71+AT72+AT73+AT74+'inv plan efter år 2024'!AT37+AT75+AT80+'inv plan efter år 2024'!AT41+'inv plan efter år 2024'!AT42+'inv plan efter år 2024'!AT43+'inv plan efter år 2024'!AT44+'inv plan efter år 2024'!AT45+#REF!+'inv plan efter år 2024'!AT58+'inv plan efter år 2024'!AT59+'inv plan efter år 2024'!AT60+'inv plan efter år 2024'!AT61+'inv plan efter år 2024'!AT62+'inv plan efter år 2024'!AT63+'inv plan efter år 2024'!AT64+'inv plan efter år 2024'!AT65+'inv plan efter år 2024'!AT66</f>
        <v>#REF!</v>
      </c>
      <c r="AU18" s="139" t="e">
        <f>AU45+'inv plan efter år 2024'!AU20+AU49+'inv plan efter år 2024'!AU21+AU50+'inv plan efter år 2024'!AU22+'inv plan efter år 2024'!AU23+AU51+AU52+AU53+'inv plan efter år 2024'!AU24+'inv plan efter år 2024'!AU25+AU54+AU68+AU69+'Inv plan 2018-2027 underlag RPB'!AU70+AU71+AU72+AU73+AU74+'inv plan efter år 2024'!AU37+AU75+AU80+'inv plan efter år 2024'!AU41+'inv plan efter år 2024'!AU42+'inv plan efter år 2024'!AU43+'inv plan efter år 2024'!AU44+'inv plan efter år 2024'!AU45+#REF!+'inv plan efter år 2024'!AU58+'inv plan efter år 2024'!AU59+'inv plan efter år 2024'!AU60+'inv plan efter år 2024'!AU61+'inv plan efter år 2024'!AU62+'inv plan efter år 2024'!AU63+'inv plan efter år 2024'!AU64+'inv plan efter år 2024'!AU65+'inv plan efter år 2024'!AU66</f>
        <v>#REF!</v>
      </c>
      <c r="AV18" s="139" t="e">
        <f>AV45+'inv plan efter år 2024'!AV20+AV49+'inv plan efter år 2024'!AV21+AV50+'inv plan efter år 2024'!AV22+'inv plan efter år 2024'!AV23+AV51+AV52+AV53+'inv plan efter år 2024'!AV24+'inv plan efter år 2024'!AV25+AV54+AV68+AV69+'Inv plan 2018-2027 underlag RPB'!AV70+AV71+AV72+AV73+AV74+'inv plan efter år 2024'!AV37+AV75+AV80+'inv plan efter år 2024'!AV41+'inv plan efter år 2024'!AV42+'inv plan efter år 2024'!AV43+'inv plan efter år 2024'!AV44+'inv plan efter år 2024'!AV45+#REF!+'inv plan efter år 2024'!AV58+'inv plan efter år 2024'!AV59+'inv plan efter år 2024'!AV60+'inv plan efter år 2024'!AV61+'inv plan efter år 2024'!AV62+'inv plan efter år 2024'!AV63+'inv plan efter år 2024'!AV64+'inv plan efter år 2024'!AV65+'inv plan efter år 2024'!AV66</f>
        <v>#REF!</v>
      </c>
      <c r="AW18" s="139" t="e">
        <f>AW45+'inv plan efter år 2024'!AW20+AW49+'inv plan efter år 2024'!AW21+AW50+'inv plan efter år 2024'!AW22+'inv plan efter år 2024'!AW23+AW51+AW52+AW53+'inv plan efter år 2024'!AW24+'inv plan efter år 2024'!AW25+AW54+AW68+AW69+'Inv plan 2018-2027 underlag RPB'!AW70+AW71+AW72+AW73+AW74+'inv plan efter år 2024'!AW37+AW75+AW80+'inv plan efter år 2024'!AW41+'inv plan efter år 2024'!AW42+'inv plan efter år 2024'!AW43+'inv plan efter år 2024'!AW44+'inv plan efter år 2024'!AW45+#REF!+'inv plan efter år 2024'!AW58+'inv plan efter år 2024'!AW59+'inv plan efter år 2024'!AW60+'inv plan efter år 2024'!AW61+'inv plan efter år 2024'!AW62+'inv plan efter år 2024'!AW63+'inv plan efter år 2024'!AW64+'inv plan efter år 2024'!AW65+'inv plan efter år 2024'!AW66</f>
        <v>#REF!</v>
      </c>
      <c r="AX18" s="139" t="e">
        <f>AX45+'inv plan efter år 2024'!AX20+AX49+'inv plan efter år 2024'!AX21+AX50+'inv plan efter år 2024'!AX22+'inv plan efter år 2024'!AX23+AX51+AX52+AX53+'inv plan efter år 2024'!AX24+'inv plan efter år 2024'!AX25+AX54+AX68+AX69+'Inv plan 2018-2027 underlag RPB'!AX70+AX71+AX72+AX73+AX74+'inv plan efter år 2024'!AX37+AX75+AX80+'inv plan efter år 2024'!AX41+'inv plan efter år 2024'!AX42+'inv plan efter år 2024'!AX43+'inv plan efter år 2024'!AX44+'inv plan efter år 2024'!AX45+#REF!+'inv plan efter år 2024'!AX58+'inv plan efter år 2024'!AX59+'inv plan efter år 2024'!AX60+'inv plan efter år 2024'!AX61+'inv plan efter år 2024'!AX62+'inv plan efter år 2024'!AX63+'inv plan efter år 2024'!AX64+'inv plan efter år 2024'!AX65+'inv plan efter år 2024'!AX66</f>
        <v>#REF!</v>
      </c>
      <c r="AY18" s="139" t="e">
        <f>AY45+'inv plan efter år 2024'!AY20+AY49+'inv plan efter år 2024'!AY21+AY50+'inv plan efter år 2024'!AY22+'inv plan efter år 2024'!AY23+AY51+AY52+AY53+'inv plan efter år 2024'!AY24+'inv plan efter år 2024'!AY25+AY54+AY68+AY69+'Inv plan 2018-2027 underlag RPB'!AY70+AY71+AY72+AY73+AY74+'inv plan efter år 2024'!AY37+AY75+AY80+'inv plan efter år 2024'!AY41+'inv plan efter år 2024'!AY42+'inv plan efter år 2024'!AY43+'inv plan efter år 2024'!AY44+'inv plan efter år 2024'!AY45+#REF!+'inv plan efter år 2024'!AY58+'inv plan efter år 2024'!AY59+'inv plan efter år 2024'!AY60+'inv plan efter år 2024'!AY61+'inv plan efter år 2024'!AY62+'inv plan efter år 2024'!AY63+'inv plan efter år 2024'!AY64+'inv plan efter år 2024'!AY65+'inv plan efter år 2024'!AY66</f>
        <v>#REF!</v>
      </c>
      <c r="AZ18" s="139" t="e">
        <f>AZ45+'inv plan efter år 2024'!AZ20+AZ49+'inv plan efter år 2024'!AZ21+AZ50+'inv plan efter år 2024'!AZ22+'inv plan efter år 2024'!AZ23+AZ51+AZ52+AZ53+'inv plan efter år 2024'!AZ24+'inv plan efter år 2024'!AZ25+AZ54+AZ68+AZ69+'Inv plan 2018-2027 underlag RPB'!AZ70+AZ71+AZ72+AZ73+AZ74+'inv plan efter år 2024'!AZ37+AZ75+AZ80+'inv plan efter år 2024'!AZ41+'inv plan efter år 2024'!AZ42+'inv plan efter år 2024'!AZ43+'inv plan efter år 2024'!AZ44+'inv plan efter år 2024'!AZ45+#REF!+'inv plan efter år 2024'!AZ58+'inv plan efter år 2024'!AZ59+'inv plan efter år 2024'!AZ60+'inv plan efter år 2024'!AZ61+'inv plan efter år 2024'!AZ62+'inv plan efter år 2024'!AZ63+'inv plan efter år 2024'!AZ64+'inv plan efter år 2024'!AZ65+'inv plan efter år 2024'!AZ66</f>
        <v>#REF!</v>
      </c>
      <c r="BA18" s="139" t="e">
        <f>BA45+'inv plan efter år 2024'!BA20+BA49+'inv plan efter år 2024'!BA21+BA50+'inv plan efter år 2024'!BA22+'inv plan efter år 2024'!BA23+BA51+BA52+BA53+'inv plan efter år 2024'!BA24+'inv plan efter år 2024'!BA25+BA54+BA68+BA69+'Inv plan 2018-2027 underlag RPB'!BA70+BA71+BA72+BA73+BA74+'inv plan efter år 2024'!BA37+BA75+BA80+'inv plan efter år 2024'!BA41+'inv plan efter år 2024'!BA42+'inv plan efter år 2024'!BA43+'inv plan efter år 2024'!BA44+'inv plan efter år 2024'!BA45+#REF!+'inv plan efter år 2024'!BA58+'inv plan efter år 2024'!BA59+'inv plan efter år 2024'!BA60+'inv plan efter år 2024'!BA61+'inv plan efter år 2024'!BA62+'inv plan efter år 2024'!BA63+'inv plan efter år 2024'!BA64+'inv plan efter år 2024'!BA65+'inv plan efter år 2024'!BA66</f>
        <v>#REF!</v>
      </c>
      <c r="BB18" s="139" t="e">
        <f>BB45+'inv plan efter år 2024'!BB20+BB49+'inv plan efter år 2024'!BB21+BB50+'inv plan efter år 2024'!BB22+'inv plan efter år 2024'!BB23+BB51+BB52+BB53+'inv plan efter år 2024'!BB24+'inv plan efter år 2024'!BB25+BB54+BB68+BB69+'Inv plan 2018-2027 underlag RPB'!BB70+BB71+BB72+BB73+BB74+'inv plan efter år 2024'!BB37+BB75+BB80+'inv plan efter år 2024'!BB41+'inv plan efter år 2024'!BB42+'inv plan efter år 2024'!BB43+'inv plan efter år 2024'!BB44+'inv plan efter år 2024'!BB45+#REF!+'inv plan efter år 2024'!BB58+'inv plan efter år 2024'!BB59+'inv plan efter år 2024'!BB60+'inv plan efter år 2024'!BB61+'inv plan efter år 2024'!BB62+'inv plan efter år 2024'!BB63+'inv plan efter år 2024'!BB64+'inv plan efter år 2024'!BB65+'inv plan efter år 2024'!BB66</f>
        <v>#REF!</v>
      </c>
      <c r="BC18" s="139" t="e">
        <f>BC45+'inv plan efter år 2024'!BC20+BC49+'inv plan efter år 2024'!BC21+BC50+'inv plan efter år 2024'!BC22+'inv plan efter år 2024'!BC23+BC51+BC52+BC53+'inv plan efter år 2024'!BC24+'inv plan efter år 2024'!BC25+BC54+BC68+BC69+'Inv plan 2018-2027 underlag RPB'!BC70+BC71+BC72+BC73+BC74+'inv plan efter år 2024'!BC37+BC75+BC80+'inv plan efter år 2024'!BC41+'inv plan efter år 2024'!BC42+'inv plan efter år 2024'!BC43+'inv plan efter år 2024'!BC44+'inv plan efter år 2024'!BC45+#REF!+'inv plan efter år 2024'!BC58+'inv plan efter år 2024'!BC59+'inv plan efter år 2024'!BC60+'inv plan efter år 2024'!BC61+'inv plan efter år 2024'!BC62+'inv plan efter år 2024'!BC63+'inv plan efter år 2024'!BC64+'inv plan efter år 2024'!BC65+'inv plan efter år 2024'!BC66</f>
        <v>#REF!</v>
      </c>
      <c r="BD18" s="139" t="e">
        <f>BD45+'inv plan efter år 2024'!BD20+BD49+'inv plan efter år 2024'!BD21+BD50+'inv plan efter år 2024'!BD22+'inv plan efter år 2024'!BD23+BD51+BD52+BD53+'inv plan efter år 2024'!BD24+'inv plan efter år 2024'!BD25+BD54+BD68+BD69+'Inv plan 2018-2027 underlag RPB'!BD70+BD71+BD72+BD73+BD74+'inv plan efter år 2024'!BD37+BD75+BD80+'inv plan efter år 2024'!BD41+'inv plan efter år 2024'!BD42+'inv plan efter år 2024'!BD43+'inv plan efter år 2024'!BD44+'inv plan efter år 2024'!BD45+#REF!+'inv plan efter år 2024'!BD58+'inv plan efter år 2024'!BD59+'inv plan efter år 2024'!BD60+'inv plan efter år 2024'!BD61+'inv plan efter år 2024'!BD62+'inv plan efter år 2024'!BD63+'inv plan efter år 2024'!BD64+'inv plan efter år 2024'!BD65+'inv plan efter år 2024'!BD66</f>
        <v>#REF!</v>
      </c>
      <c r="BE18" s="139" t="e">
        <f>BE45+'inv plan efter år 2024'!BE20+BE49+'inv plan efter år 2024'!BE21+BE50+'inv plan efter år 2024'!BE22+'inv plan efter år 2024'!BE23+BE51+BE52+BE53+'inv plan efter år 2024'!BE24+'inv plan efter år 2024'!BE25+BE54+BE68+BE69+'Inv plan 2018-2027 underlag RPB'!BE70+BE71+BE72+BE73+BE74+'inv plan efter år 2024'!BE37+BE75+BE80+'inv plan efter år 2024'!BE41+'inv plan efter år 2024'!BE42+'inv plan efter år 2024'!BE43+'inv plan efter år 2024'!BE44+'inv plan efter år 2024'!BE45+#REF!+'inv plan efter år 2024'!BE58+'inv plan efter år 2024'!BE59+'inv plan efter år 2024'!BE60+'inv plan efter år 2024'!BE61+'inv plan efter år 2024'!BE62+'inv plan efter år 2024'!BE63+'inv plan efter år 2024'!BE64+'inv plan efter år 2024'!BE65+'inv plan efter år 2024'!BE66</f>
        <v>#REF!</v>
      </c>
      <c r="BF18" s="139" t="e">
        <f>BF45+'inv plan efter år 2024'!BF20+BF49+'inv plan efter år 2024'!BF21+BF50+'inv plan efter år 2024'!BF22+'inv plan efter år 2024'!BF23+BF51+BF52+BF53+'inv plan efter år 2024'!BF24+'inv plan efter år 2024'!BF25+BF54+BF68+BF69+'Inv plan 2018-2027 underlag RPB'!BF70+BF71+BF72+BF73+BF74+'inv plan efter år 2024'!BF37+BF75+BF80+'inv plan efter år 2024'!BF41+'inv plan efter år 2024'!BF42+'inv plan efter år 2024'!BF43+'inv plan efter år 2024'!BF44+'inv plan efter år 2024'!BF45+#REF!+'inv plan efter år 2024'!BF58+'inv plan efter år 2024'!BF59+'inv plan efter år 2024'!BF60+'inv plan efter år 2024'!BF61+'inv plan efter år 2024'!BF62+'inv plan efter år 2024'!BF63+'inv plan efter år 2024'!BF64+'inv plan efter år 2024'!BF65+'inv plan efter år 2024'!BF66</f>
        <v>#REF!</v>
      </c>
      <c r="BG18" s="139" t="e">
        <f>BG45+'inv plan efter år 2024'!BG20+BG49+'inv plan efter år 2024'!BG21+BG50+'inv plan efter år 2024'!BG22+'inv plan efter år 2024'!BG23+BG51+BG52+BG53+'inv plan efter år 2024'!BG24+'inv plan efter år 2024'!BG25+BG54+BG68+BG69+'Inv plan 2018-2027 underlag RPB'!BG70+BG71+BG72+BG73+BG74+'inv plan efter år 2024'!BG37+BG75+BG80+'inv plan efter år 2024'!BG41+'inv plan efter år 2024'!BG42+'inv plan efter år 2024'!BG43+'inv plan efter år 2024'!BG44+'inv plan efter år 2024'!BG45+#REF!+'inv plan efter år 2024'!BG58+'inv plan efter år 2024'!BG59+'inv plan efter år 2024'!BG60+'inv plan efter år 2024'!BG61+'inv plan efter år 2024'!BG62+'inv plan efter år 2024'!BG63+'inv plan efter år 2024'!BG64+'inv plan efter år 2024'!BG65+'inv plan efter år 2024'!BG66</f>
        <v>#REF!</v>
      </c>
      <c r="BH18" s="139" t="e">
        <f>BH45+'inv plan efter år 2024'!BH20+BH49+'inv plan efter år 2024'!BH21+BH50+'inv plan efter år 2024'!BH22+'inv plan efter år 2024'!BH23+BH51+BH52+BH53+'inv plan efter år 2024'!BH24+'inv plan efter år 2024'!BH25+BH54+BH68+BH69+'Inv plan 2018-2027 underlag RPB'!BH70+BH71+BH72+BH73+BH74+'inv plan efter år 2024'!BH37+BH75+BH80+'inv plan efter år 2024'!BH41+'inv plan efter år 2024'!BH42+'inv plan efter år 2024'!BH43+'inv plan efter år 2024'!BH44+'inv plan efter år 2024'!BH45+#REF!+'inv plan efter år 2024'!BH58+'inv plan efter år 2024'!BH59+'inv plan efter år 2024'!BH60+'inv plan efter år 2024'!BH61+'inv plan efter år 2024'!BH62+'inv plan efter år 2024'!BH63+'inv plan efter år 2024'!BH64+'inv plan efter år 2024'!BH65+'inv plan efter år 2024'!BH66</f>
        <v>#REF!</v>
      </c>
      <c r="BJ18" s="66"/>
      <c r="BL18" s="133"/>
      <c r="BM18" s="134"/>
    </row>
    <row r="19" spans="1:65" ht="18" hidden="1" x14ac:dyDescent="0.2">
      <c r="D19" s="120"/>
      <c r="E19" s="121"/>
      <c r="F19" s="121"/>
      <c r="G19" s="121"/>
      <c r="H19" s="59"/>
      <c r="I19" s="74"/>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J19" s="66"/>
      <c r="BL19" s="67"/>
      <c r="BM19" s="103"/>
    </row>
    <row r="20" spans="1:65" s="140" customFormat="1" ht="18" hidden="1" x14ac:dyDescent="0.2">
      <c r="A20" s="135"/>
      <c r="B20" s="136"/>
      <c r="C20" s="136"/>
      <c r="D20" s="137"/>
      <c r="E20" s="136"/>
      <c r="F20" s="136"/>
      <c r="G20" s="136"/>
      <c r="H20" s="131"/>
      <c r="I20" s="389" t="s">
        <v>153</v>
      </c>
      <c r="J20" s="390"/>
      <c r="K20" s="60">
        <f>K55+K88</f>
        <v>12000</v>
      </c>
      <c r="L20" s="60">
        <f t="shared" ref="L20:X20" si="20">L55+L88</f>
        <v>58000</v>
      </c>
      <c r="M20" s="60">
        <f t="shared" si="20"/>
        <v>25000</v>
      </c>
      <c r="N20" s="60">
        <f t="shared" si="20"/>
        <v>0</v>
      </c>
      <c r="O20" s="61">
        <f t="shared" si="20"/>
        <v>83000</v>
      </c>
      <c r="P20" s="60">
        <f t="shared" si="20"/>
        <v>0</v>
      </c>
      <c r="Q20" s="60">
        <f t="shared" si="20"/>
        <v>0</v>
      </c>
      <c r="R20" s="60">
        <f t="shared" si="20"/>
        <v>0</v>
      </c>
      <c r="S20" s="60">
        <f t="shared" si="20"/>
        <v>0</v>
      </c>
      <c r="T20" s="60">
        <f t="shared" si="20"/>
        <v>0</v>
      </c>
      <c r="U20" s="60">
        <f t="shared" si="20"/>
        <v>0</v>
      </c>
      <c r="V20" s="60">
        <f t="shared" si="20"/>
        <v>0</v>
      </c>
      <c r="W20" s="61">
        <f t="shared" si="20"/>
        <v>83000</v>
      </c>
      <c r="X20" s="60">
        <f t="shared" si="20"/>
        <v>95000</v>
      </c>
      <c r="Y20" s="60"/>
      <c r="Z20" s="60"/>
      <c r="AA20" s="139"/>
      <c r="AB20" s="139">
        <f>'inv plan efter år 2024'!AB26+AB55+'inv plan efter år 2024'!AB27++'inv plan efter år 2024'!AB28+'inv plan efter år 2024'!AB29+AB88</f>
        <v>0</v>
      </c>
      <c r="AC20" s="139">
        <f>'inv plan efter år 2024'!AC26+AC55+'inv plan efter år 2024'!AC27++'inv plan efter år 2024'!AC28+'inv plan efter år 2024'!AC29+AC88</f>
        <v>0</v>
      </c>
      <c r="AD20" s="139" t="e">
        <f>'inv plan efter år 2024'!AD26+AD55+'inv plan efter år 2024'!AD27++'inv plan efter år 2024'!AD28+'inv plan efter år 2024'!AD29+AD88</f>
        <v>#REF!</v>
      </c>
      <c r="AE20" s="139" t="e">
        <f>'inv plan efter år 2024'!AE26+AE55+'inv plan efter år 2024'!AE27++'inv plan efter år 2024'!AE28+'inv plan efter år 2024'!AE29+AE88</f>
        <v>#REF!</v>
      </c>
      <c r="AF20" s="139" t="e">
        <f>'inv plan efter år 2024'!AF26+AF55+'inv plan efter år 2024'!AF27++'inv plan efter år 2024'!AF28+'inv plan efter år 2024'!AF29+AF88</f>
        <v>#REF!</v>
      </c>
      <c r="AG20" s="139" t="e">
        <f>'inv plan efter år 2024'!AG26+AG55+'inv plan efter år 2024'!AG27++'inv plan efter år 2024'!AG28+'inv plan efter år 2024'!AG29+AG88</f>
        <v>#REF!</v>
      </c>
      <c r="AH20" s="139" t="e">
        <f>'inv plan efter år 2024'!AH26+AH55+'inv plan efter år 2024'!AH27++'inv plan efter år 2024'!AH28+'inv plan efter år 2024'!AH29+AH88</f>
        <v>#REF!</v>
      </c>
      <c r="AI20" s="139" t="e">
        <f>'inv plan efter år 2024'!AI26+AI55+'inv plan efter år 2024'!AI27++'inv plan efter år 2024'!AI28+'inv plan efter år 2024'!AI29+AI88</f>
        <v>#REF!</v>
      </c>
      <c r="AJ20" s="139" t="e">
        <f>'inv plan efter år 2024'!AJ26+AJ55+'inv plan efter år 2024'!AJ27++'inv plan efter år 2024'!AJ28+'inv plan efter år 2024'!AJ29+AJ88</f>
        <v>#REF!</v>
      </c>
      <c r="AK20" s="139" t="e">
        <f>'inv plan efter år 2024'!AK26+AK55+'inv plan efter år 2024'!AK27++'inv plan efter år 2024'!AK28+'inv plan efter år 2024'!AK29+AK88</f>
        <v>#REF!</v>
      </c>
      <c r="AL20" s="139" t="e">
        <f>'inv plan efter år 2024'!AL26+AL55+'inv plan efter år 2024'!AL27++'inv plan efter år 2024'!AL28+'inv plan efter år 2024'!AL29+AL88</f>
        <v>#REF!</v>
      </c>
      <c r="AM20" s="139">
        <f>'inv plan efter år 2024'!AM26+AM55+'inv plan efter år 2024'!AM27++'inv plan efter år 2024'!AM28+'inv plan efter år 2024'!AM29+AM88</f>
        <v>0</v>
      </c>
      <c r="AN20" s="139">
        <f>'inv plan efter år 2024'!AN26+AN55+'inv plan efter år 2024'!AN27++'inv plan efter år 2024'!AN28+'inv plan efter år 2024'!AN29+AN88</f>
        <v>0</v>
      </c>
      <c r="AO20" s="139" t="e">
        <f>'inv plan efter år 2024'!AO26+AO55+'inv plan efter år 2024'!AO27++'inv plan efter år 2024'!AO28+'inv plan efter år 2024'!AO29+AO88</f>
        <v>#REF!</v>
      </c>
      <c r="AP20" s="139" t="e">
        <f>'inv plan efter år 2024'!AP26+AP55+'inv plan efter år 2024'!AP27++'inv plan efter år 2024'!AP28+'inv plan efter år 2024'!AP29+AP88</f>
        <v>#REF!</v>
      </c>
      <c r="AQ20" s="139" t="e">
        <f>'inv plan efter år 2024'!AQ26+AQ55+'inv plan efter år 2024'!AQ27++'inv plan efter år 2024'!AQ28+'inv plan efter år 2024'!AQ29+AQ88</f>
        <v>#REF!</v>
      </c>
      <c r="AR20" s="139" t="e">
        <f>'inv plan efter år 2024'!AR26+AR55+'inv plan efter år 2024'!AR27++'inv plan efter år 2024'!AR28+'inv plan efter år 2024'!AR29+AR88</f>
        <v>#REF!</v>
      </c>
      <c r="AS20" s="139" t="e">
        <f>'inv plan efter år 2024'!AS26+AS55+'inv plan efter år 2024'!AS27++'inv plan efter år 2024'!AS28+'inv plan efter år 2024'!AS29+AS88</f>
        <v>#REF!</v>
      </c>
      <c r="AT20" s="139" t="e">
        <f>'inv plan efter år 2024'!AT26+AT55+'inv plan efter år 2024'!AT27++'inv plan efter år 2024'!AT28+'inv plan efter år 2024'!AT29+AT88</f>
        <v>#REF!</v>
      </c>
      <c r="AU20" s="139" t="e">
        <f>'inv plan efter år 2024'!AU26+AU55+'inv plan efter år 2024'!AU27++'inv plan efter år 2024'!AU28+'inv plan efter år 2024'!AU29+AU88</f>
        <v>#REF!</v>
      </c>
      <c r="AV20" s="139" t="e">
        <f>'inv plan efter år 2024'!AV26+AV55+'inv plan efter år 2024'!AV27++'inv plan efter år 2024'!AV28+'inv plan efter år 2024'!AV29+AV88</f>
        <v>#REF!</v>
      </c>
      <c r="AW20" s="139" t="e">
        <f>'inv plan efter år 2024'!AW26+AW55+'inv plan efter år 2024'!AW27++'inv plan efter år 2024'!AW28+'inv plan efter år 2024'!AW29+AW88</f>
        <v>#REF!</v>
      </c>
      <c r="AX20" s="139">
        <f>'inv plan efter år 2024'!AX26+AX55+'inv plan efter år 2024'!AX27++'inv plan efter år 2024'!AX28+'inv plan efter år 2024'!AX29+AX88</f>
        <v>0</v>
      </c>
      <c r="AY20" s="139">
        <f>'inv plan efter år 2024'!AY26+AY55+'inv plan efter år 2024'!AY27++'inv plan efter år 2024'!AY28+'inv plan efter år 2024'!AY29+AY88</f>
        <v>0</v>
      </c>
      <c r="AZ20" s="139">
        <f>'inv plan efter år 2024'!AZ26+AZ55+'inv plan efter år 2024'!AZ27++'inv plan efter år 2024'!AZ28+'inv plan efter år 2024'!AZ29+AZ88</f>
        <v>0</v>
      </c>
      <c r="BA20" s="139">
        <f>'inv plan efter år 2024'!BA26+BA55+'inv plan efter år 2024'!BA27++'inv plan efter år 2024'!BA28+'inv plan efter år 2024'!BA29+BA88</f>
        <v>0</v>
      </c>
      <c r="BB20" s="139">
        <f>'inv plan efter år 2024'!BB26+BB55+'inv plan efter år 2024'!BB27++'inv plan efter år 2024'!BB28+'inv plan efter år 2024'!BB29+BB88</f>
        <v>0</v>
      </c>
      <c r="BC20" s="139">
        <f>'inv plan efter år 2024'!BC26+BC55+'inv plan efter år 2024'!BC27++'inv plan efter år 2024'!BC28+'inv plan efter år 2024'!BC29+BC88</f>
        <v>0</v>
      </c>
      <c r="BD20" s="139">
        <f>'inv plan efter år 2024'!BD26+BD55+'inv plan efter år 2024'!BD27++'inv plan efter år 2024'!BD28+'inv plan efter år 2024'!BD29+BD88</f>
        <v>0</v>
      </c>
      <c r="BE20" s="139">
        <f>'inv plan efter år 2024'!BE26+BE55+'inv plan efter år 2024'!BE27++'inv plan efter år 2024'!BE28+'inv plan efter år 2024'!BE29+BE88</f>
        <v>0</v>
      </c>
      <c r="BF20" s="139">
        <f>'inv plan efter år 2024'!BF26+BF55+'inv plan efter år 2024'!BF27++'inv plan efter år 2024'!BF28+'inv plan efter år 2024'!BF29+BF88</f>
        <v>0</v>
      </c>
      <c r="BG20" s="139">
        <f>'inv plan efter år 2024'!BG26+BG55+'inv plan efter år 2024'!BG27++'inv plan efter år 2024'!BG28+'inv plan efter år 2024'!BG29+BG88</f>
        <v>0</v>
      </c>
      <c r="BH20" s="139">
        <f>'inv plan efter år 2024'!BH26+BH55+'inv plan efter år 2024'!BH27++'inv plan efter år 2024'!BH28+'inv plan efter år 2024'!BH29+BH88</f>
        <v>0</v>
      </c>
      <c r="BJ20" s="66"/>
      <c r="BL20" s="133"/>
      <c r="BM20" s="134"/>
    </row>
    <row r="21" spans="1:65" ht="18" hidden="1" x14ac:dyDescent="0.2">
      <c r="D21" s="120"/>
      <c r="E21" s="121"/>
      <c r="F21" s="121"/>
      <c r="G21" s="121"/>
      <c r="H21" s="59"/>
      <c r="I21" s="74"/>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J21" s="66"/>
      <c r="BL21" s="67"/>
      <c r="BM21" s="103"/>
    </row>
    <row r="22" spans="1:65" s="140" customFormat="1" ht="18" hidden="1" x14ac:dyDescent="0.2">
      <c r="A22" s="135"/>
      <c r="B22" s="136"/>
      <c r="C22" s="136"/>
      <c r="D22" s="137"/>
      <c r="E22" s="136"/>
      <c r="F22" s="136"/>
      <c r="G22" s="136"/>
      <c r="H22" s="131"/>
      <c r="I22" s="389" t="s">
        <v>154</v>
      </c>
      <c r="J22" s="390"/>
      <c r="K22" s="60" t="e">
        <f>K56+K57+K58+K59+K60+K61+K62</f>
        <v>#REF!</v>
      </c>
      <c r="L22" s="60">
        <f t="shared" ref="L22:X22" si="21">L56+L57+L58+L59+L60+L61+L62</f>
        <v>192025</v>
      </c>
      <c r="M22" s="60">
        <f t="shared" si="21"/>
        <v>158800</v>
      </c>
      <c r="N22" s="60">
        <f t="shared" si="21"/>
        <v>307600</v>
      </c>
      <c r="O22" s="61">
        <f t="shared" si="21"/>
        <v>658425</v>
      </c>
      <c r="P22" s="60">
        <f t="shared" si="21"/>
        <v>388800</v>
      </c>
      <c r="Q22" s="60">
        <f t="shared" si="21"/>
        <v>276700</v>
      </c>
      <c r="R22" s="60">
        <f t="shared" si="21"/>
        <v>115974</v>
      </c>
      <c r="S22" s="60">
        <f t="shared" si="21"/>
        <v>0</v>
      </c>
      <c r="T22" s="60">
        <f t="shared" si="21"/>
        <v>0</v>
      </c>
      <c r="U22" s="60">
        <f t="shared" si="21"/>
        <v>0</v>
      </c>
      <c r="V22" s="60">
        <f t="shared" si="21"/>
        <v>0</v>
      </c>
      <c r="W22" s="61">
        <f t="shared" si="21"/>
        <v>1439899</v>
      </c>
      <c r="X22" s="60" t="e">
        <f t="shared" si="21"/>
        <v>#REF!</v>
      </c>
      <c r="Y22" s="60"/>
      <c r="Z22" s="60"/>
      <c r="AA22" s="139"/>
      <c r="AB22" s="139">
        <f>'inv plan efter år 2024'!AB30+AB56+AB57+AB58+'inv plan efter år 2024'!AB31+AB59+AB60+AB61+AB62</f>
        <v>0</v>
      </c>
      <c r="AC22" s="139" t="e">
        <f>'inv plan efter år 2024'!AC30+AC56+AC57+AC58+'inv plan efter år 2024'!AC31+AC59+AC60+AC61+AC62</f>
        <v>#REF!</v>
      </c>
      <c r="AD22" s="139" t="e">
        <f>'inv plan efter år 2024'!AD30+AD56+AD57+AD58+'inv plan efter år 2024'!AD31+AD59+AD60+AD61+AD62</f>
        <v>#REF!</v>
      </c>
      <c r="AE22" s="139" t="e">
        <f>'inv plan efter år 2024'!AE30+AE56+AE57+AE58+'inv plan efter år 2024'!AE31+AE59+AE60+AE61+AE62</f>
        <v>#REF!</v>
      </c>
      <c r="AF22" s="139" t="e">
        <f>'inv plan efter år 2024'!AF30+AF56+AF57+AF58+'inv plan efter år 2024'!AF31+AF59+AF60+AF61+AF62</f>
        <v>#REF!</v>
      </c>
      <c r="AG22" s="139" t="e">
        <f>'inv plan efter år 2024'!AG30+AG56+AG57+AG58+'inv plan efter år 2024'!AG31+AG59+AG60+AG61+AG62</f>
        <v>#REF!</v>
      </c>
      <c r="AH22" s="139" t="e">
        <f>'inv plan efter år 2024'!AH30+AH56+AH57+AH58+'inv plan efter år 2024'!AH31+AH59+AH60+AH61+AH62</f>
        <v>#REF!</v>
      </c>
      <c r="AI22" s="139" t="e">
        <f>'inv plan efter år 2024'!AI30+AI56+AI57+AI58+'inv plan efter år 2024'!AI31+AI59+AI60+AI61+AI62</f>
        <v>#REF!</v>
      </c>
      <c r="AJ22" s="139" t="e">
        <f>'inv plan efter år 2024'!AJ30+AJ56+AJ57+AJ58+'inv plan efter år 2024'!AJ31+AJ59+AJ60+AJ61+AJ62</f>
        <v>#REF!</v>
      </c>
      <c r="AK22" s="139" t="e">
        <f>'inv plan efter år 2024'!AK30+AK56+AK57+AK58+'inv plan efter år 2024'!AK31+AK59+AK60+AK61+AK62</f>
        <v>#REF!</v>
      </c>
      <c r="AL22" s="139" t="e">
        <f>'inv plan efter år 2024'!AL30+AL56+AL57+AL58+'inv plan efter år 2024'!AL31+AL59+AL60+AL61+AL62</f>
        <v>#REF!</v>
      </c>
      <c r="AM22" s="139">
        <f>'inv plan efter år 2024'!AM30+AM56+AM57+AM58+'inv plan efter år 2024'!AM31+AM59+AM60+AM61+AM62</f>
        <v>0</v>
      </c>
      <c r="AN22" s="139" t="e">
        <f>'inv plan efter år 2024'!AN30+AN56+AN57+AN58+'inv plan efter år 2024'!AN31+AN59+AN60+AN61+AN62</f>
        <v>#REF!</v>
      </c>
      <c r="AO22" s="139" t="e">
        <f>'inv plan efter år 2024'!AO30+AO56+AO57+AO58+'inv plan efter år 2024'!AO31+AO59+AO60+AO61+AO62</f>
        <v>#REF!</v>
      </c>
      <c r="AP22" s="139" t="e">
        <f>'inv plan efter år 2024'!AP30+AP56+AP57+AP58+'inv plan efter år 2024'!AP31+AP59+AP60+AP61+AP62</f>
        <v>#REF!</v>
      </c>
      <c r="AQ22" s="139" t="e">
        <f>'inv plan efter år 2024'!AQ30+AQ56+AQ57+AQ58+'inv plan efter år 2024'!AQ31+AQ59+AQ60+AQ61+AQ62</f>
        <v>#REF!</v>
      </c>
      <c r="AR22" s="139" t="e">
        <f>'inv plan efter år 2024'!AR30+AR56+AR57+AR58+'inv plan efter år 2024'!AR31+AR59+AR60+AR61+AR62</f>
        <v>#REF!</v>
      </c>
      <c r="AS22" s="139" t="e">
        <f>'inv plan efter år 2024'!AS30+AS56+AS57+AS58+'inv plan efter år 2024'!AS31+AS59+AS60+AS61+AS62</f>
        <v>#REF!</v>
      </c>
      <c r="AT22" s="139" t="e">
        <f>'inv plan efter år 2024'!AT30+AT56+AT57+AT58+'inv plan efter år 2024'!AT31+AT59+AT60+AT61+AT62</f>
        <v>#REF!</v>
      </c>
      <c r="AU22" s="139" t="e">
        <f>'inv plan efter år 2024'!AU30+AU56+AU57+AU58+'inv plan efter år 2024'!AU31+AU59+AU60+AU61+AU62</f>
        <v>#REF!</v>
      </c>
      <c r="AV22" s="139" t="e">
        <f>'inv plan efter år 2024'!AV30+AV56+AV57+AV58+'inv plan efter år 2024'!AV31+AV59+AV60+AV61+AV62</f>
        <v>#REF!</v>
      </c>
      <c r="AW22" s="139" t="e">
        <f>'inv plan efter år 2024'!AW30+AW56+AW57+AW58+'inv plan efter år 2024'!AW31+AW59+AW60+AW61+AW62</f>
        <v>#REF!</v>
      </c>
      <c r="AX22" s="139">
        <f>'inv plan efter år 2024'!AX30+AX56+AX57+AX58+'inv plan efter år 2024'!AX31+AX59+AX60+AX61+AX62</f>
        <v>0</v>
      </c>
      <c r="AY22" s="139">
        <f>'inv plan efter år 2024'!AY30+AY56+AY57+AY58+'inv plan efter år 2024'!AY31+AY59+AY60+AY61+AY62</f>
        <v>0</v>
      </c>
      <c r="AZ22" s="139">
        <f>'inv plan efter år 2024'!AZ30+AZ56+AZ57+AZ58+'inv plan efter år 2024'!AZ31+AZ59+AZ60+AZ61+AZ62</f>
        <v>0</v>
      </c>
      <c r="BA22" s="139">
        <f>'inv plan efter år 2024'!BA30+BA56+BA57+BA58+'inv plan efter år 2024'!BA31+BA59+BA60+BA61+BA62</f>
        <v>0</v>
      </c>
      <c r="BB22" s="139">
        <f>'inv plan efter år 2024'!BB30+BB56+BB57+BB58+'inv plan efter år 2024'!BB31+BB59+BB60+BB61+BB62</f>
        <v>20128</v>
      </c>
      <c r="BC22" s="139">
        <f>'inv plan efter år 2024'!BC30+BC56+BC57+BC58+'inv plan efter år 2024'!BC31+BC59+BC60+BC61+BC62</f>
        <v>0</v>
      </c>
      <c r="BD22" s="139">
        <f>'inv plan efter år 2024'!BD30+BD56+BD57+BD58+'inv plan efter år 2024'!BD31+BD59+BD60+BD61+BD62</f>
        <v>46942</v>
      </c>
      <c r="BE22" s="139">
        <f>'inv plan efter år 2024'!BE30+BE56+BE57+BE58+'inv plan efter år 2024'!BE31+BE59+BE60+BE61+BE62</f>
        <v>0</v>
      </c>
      <c r="BF22" s="139">
        <f>'inv plan efter år 2024'!BF30+BF56+BF57+BF58+'inv plan efter år 2024'!BF31+BF59+BF60+BF61+BF62</f>
        <v>0</v>
      </c>
      <c r="BG22" s="139">
        <f>'inv plan efter år 2024'!BG30+BG56+BG57+BG58+'inv plan efter år 2024'!BG31+BG59+BG60+BG61+BG62</f>
        <v>0</v>
      </c>
      <c r="BH22" s="139">
        <f>'inv plan efter år 2024'!BH30+BH56+BH57+BH58+'inv plan efter år 2024'!BH31+BH59+BH60+BH61+BH62</f>
        <v>0</v>
      </c>
      <c r="BJ22" s="66"/>
      <c r="BL22" s="133"/>
      <c r="BM22" s="134"/>
    </row>
    <row r="23" spans="1:65" ht="18" hidden="1" x14ac:dyDescent="0.2">
      <c r="D23" s="120"/>
      <c r="E23" s="121"/>
      <c r="F23" s="121"/>
      <c r="G23" s="121"/>
      <c r="H23" s="59"/>
      <c r="I23" s="74"/>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J23" s="66"/>
      <c r="BL23" s="67"/>
      <c r="BM23" s="103"/>
    </row>
    <row r="24" spans="1:65" s="140" customFormat="1" ht="18" hidden="1" x14ac:dyDescent="0.2">
      <c r="A24" s="135"/>
      <c r="B24" s="136"/>
      <c r="C24" s="136"/>
      <c r="D24" s="137"/>
      <c r="E24" s="136"/>
      <c r="F24" s="136"/>
      <c r="G24" s="136"/>
      <c r="H24" s="131"/>
      <c r="I24" s="389" t="s">
        <v>155</v>
      </c>
      <c r="J24" s="390"/>
      <c r="K24" s="60" t="e">
        <f t="shared" ref="K24:X24" si="22">K63+K64+K81+K89</f>
        <v>#REF!</v>
      </c>
      <c r="L24" s="60">
        <f t="shared" si="22"/>
        <v>842809</v>
      </c>
      <c r="M24" s="60">
        <f t="shared" si="22"/>
        <v>515106</v>
      </c>
      <c r="N24" s="60">
        <f t="shared" si="22"/>
        <v>195177</v>
      </c>
      <c r="O24" s="61">
        <f t="shared" si="22"/>
        <v>1553092</v>
      </c>
      <c r="P24" s="60">
        <f t="shared" si="22"/>
        <v>78622</v>
      </c>
      <c r="Q24" s="60">
        <f t="shared" si="22"/>
        <v>0</v>
      </c>
      <c r="R24" s="60">
        <f t="shared" si="22"/>
        <v>0</v>
      </c>
      <c r="S24" s="60">
        <f t="shared" si="22"/>
        <v>0</v>
      </c>
      <c r="T24" s="60">
        <f t="shared" si="22"/>
        <v>0</v>
      </c>
      <c r="U24" s="60">
        <f t="shared" si="22"/>
        <v>0</v>
      </c>
      <c r="V24" s="60">
        <f t="shared" si="22"/>
        <v>0</v>
      </c>
      <c r="W24" s="61">
        <f t="shared" si="22"/>
        <v>1631714</v>
      </c>
      <c r="X24" s="60" t="e">
        <f t="shared" si="22"/>
        <v>#REF!</v>
      </c>
      <c r="Y24" s="60"/>
      <c r="Z24" s="60"/>
      <c r="AA24" s="139"/>
      <c r="AB24" s="139">
        <f t="shared" ref="AB24:BH24" si="23">AB63+AB64+AB81+AB89</f>
        <v>0</v>
      </c>
      <c r="AC24" s="139" t="e">
        <f t="shared" si="23"/>
        <v>#REF!</v>
      </c>
      <c r="AD24" s="139" t="e">
        <f t="shared" si="23"/>
        <v>#REF!</v>
      </c>
      <c r="AE24" s="139" t="e">
        <f t="shared" si="23"/>
        <v>#REF!</v>
      </c>
      <c r="AF24" s="139" t="e">
        <f t="shared" si="23"/>
        <v>#REF!</v>
      </c>
      <c r="AG24" s="139" t="e">
        <f t="shared" si="23"/>
        <v>#REF!</v>
      </c>
      <c r="AH24" s="139" t="e">
        <f t="shared" si="23"/>
        <v>#REF!</v>
      </c>
      <c r="AI24" s="139" t="e">
        <f t="shared" si="23"/>
        <v>#REF!</v>
      </c>
      <c r="AJ24" s="139" t="e">
        <f t="shared" si="23"/>
        <v>#REF!</v>
      </c>
      <c r="AK24" s="139" t="e">
        <f t="shared" si="23"/>
        <v>#REF!</v>
      </c>
      <c r="AL24" s="139" t="e">
        <f t="shared" si="23"/>
        <v>#REF!</v>
      </c>
      <c r="AM24" s="139">
        <f t="shared" si="23"/>
        <v>0</v>
      </c>
      <c r="AN24" s="139" t="e">
        <f t="shared" si="23"/>
        <v>#REF!</v>
      </c>
      <c r="AO24" s="139" t="e">
        <f t="shared" si="23"/>
        <v>#REF!</v>
      </c>
      <c r="AP24" s="139" t="e">
        <f t="shared" si="23"/>
        <v>#REF!</v>
      </c>
      <c r="AQ24" s="139" t="e">
        <f t="shared" si="23"/>
        <v>#REF!</v>
      </c>
      <c r="AR24" s="139" t="e">
        <f t="shared" si="23"/>
        <v>#REF!</v>
      </c>
      <c r="AS24" s="139" t="e">
        <f t="shared" si="23"/>
        <v>#REF!</v>
      </c>
      <c r="AT24" s="139" t="e">
        <f t="shared" si="23"/>
        <v>#REF!</v>
      </c>
      <c r="AU24" s="139" t="e">
        <f t="shared" si="23"/>
        <v>#REF!</v>
      </c>
      <c r="AV24" s="139" t="e">
        <f t="shared" si="23"/>
        <v>#REF!</v>
      </c>
      <c r="AW24" s="139" t="e">
        <f t="shared" si="23"/>
        <v>#REF!</v>
      </c>
      <c r="AX24" s="139">
        <f t="shared" si="23"/>
        <v>0</v>
      </c>
      <c r="AY24" s="139">
        <f t="shared" si="23"/>
        <v>0</v>
      </c>
      <c r="AZ24" s="139">
        <f t="shared" si="23"/>
        <v>11748</v>
      </c>
      <c r="BA24" s="139">
        <f t="shared" si="23"/>
        <v>0</v>
      </c>
      <c r="BB24" s="139">
        <f t="shared" si="23"/>
        <v>9089</v>
      </c>
      <c r="BC24" s="139">
        <f t="shared" si="23"/>
        <v>0</v>
      </c>
      <c r="BD24" s="139">
        <f t="shared" si="23"/>
        <v>0</v>
      </c>
      <c r="BE24" s="139">
        <f t="shared" si="23"/>
        <v>0</v>
      </c>
      <c r="BF24" s="139">
        <f t="shared" si="23"/>
        <v>0</v>
      </c>
      <c r="BG24" s="139">
        <f t="shared" si="23"/>
        <v>0</v>
      </c>
      <c r="BH24" s="139">
        <f t="shared" si="23"/>
        <v>0</v>
      </c>
      <c r="BJ24" s="66"/>
      <c r="BL24" s="133"/>
      <c r="BM24" s="134"/>
    </row>
    <row r="25" spans="1:65" s="4" customFormat="1" ht="16" hidden="1" x14ac:dyDescent="0.2">
      <c r="A25" s="57"/>
      <c r="D25" s="68"/>
      <c r="H25" s="69"/>
      <c r="I25" s="70" t="s">
        <v>156</v>
      </c>
      <c r="J25" s="71"/>
      <c r="K25" s="72" t="e">
        <f t="shared" ref="K25:X25" si="24">K18+K20+K22+K24</f>
        <v>#REF!</v>
      </c>
      <c r="L25" s="73">
        <f t="shared" si="24"/>
        <v>1253834</v>
      </c>
      <c r="M25" s="73">
        <f t="shared" si="24"/>
        <v>851406</v>
      </c>
      <c r="N25" s="73">
        <f t="shared" si="24"/>
        <v>667777</v>
      </c>
      <c r="O25" s="73">
        <f t="shared" si="24"/>
        <v>2773017</v>
      </c>
      <c r="P25" s="73">
        <f t="shared" si="24"/>
        <v>642422</v>
      </c>
      <c r="Q25" s="73">
        <f t="shared" si="24"/>
        <v>427200</v>
      </c>
      <c r="R25" s="73">
        <f t="shared" si="24"/>
        <v>315974</v>
      </c>
      <c r="S25" s="73">
        <f t="shared" si="24"/>
        <v>62500</v>
      </c>
      <c r="T25" s="73">
        <f t="shared" si="24"/>
        <v>35000</v>
      </c>
      <c r="U25" s="73">
        <f t="shared" si="24"/>
        <v>5000</v>
      </c>
      <c r="V25" s="73">
        <f t="shared" si="24"/>
        <v>0</v>
      </c>
      <c r="W25" s="73">
        <f t="shared" si="24"/>
        <v>4261113</v>
      </c>
      <c r="X25" s="73" t="e">
        <f t="shared" si="24"/>
        <v>#REF!</v>
      </c>
      <c r="Y25" s="73"/>
      <c r="Z25" s="73"/>
      <c r="AA25" s="73"/>
      <c r="AB25" s="73" t="e">
        <f t="shared" ref="AB25:BH25" si="25">AB18+AB20+AB22+AB24</f>
        <v>#REF!</v>
      </c>
      <c r="AC25" s="73" t="e">
        <f t="shared" si="25"/>
        <v>#REF!</v>
      </c>
      <c r="AD25" s="73" t="e">
        <f t="shared" si="25"/>
        <v>#REF!</v>
      </c>
      <c r="AE25" s="73" t="e">
        <f t="shared" si="25"/>
        <v>#REF!</v>
      </c>
      <c r="AF25" s="73" t="e">
        <f t="shared" si="25"/>
        <v>#REF!</v>
      </c>
      <c r="AG25" s="73" t="e">
        <f t="shared" si="25"/>
        <v>#REF!</v>
      </c>
      <c r="AH25" s="73" t="e">
        <f t="shared" si="25"/>
        <v>#REF!</v>
      </c>
      <c r="AI25" s="73" t="e">
        <f t="shared" si="25"/>
        <v>#REF!</v>
      </c>
      <c r="AJ25" s="73" t="e">
        <f t="shared" si="25"/>
        <v>#REF!</v>
      </c>
      <c r="AK25" s="73" t="e">
        <f t="shared" si="25"/>
        <v>#REF!</v>
      </c>
      <c r="AL25" s="73" t="e">
        <f t="shared" si="25"/>
        <v>#REF!</v>
      </c>
      <c r="AM25" s="73" t="e">
        <f t="shared" si="25"/>
        <v>#REF!</v>
      </c>
      <c r="AN25" s="73" t="e">
        <f t="shared" si="25"/>
        <v>#REF!</v>
      </c>
      <c r="AO25" s="73" t="e">
        <f t="shared" si="25"/>
        <v>#REF!</v>
      </c>
      <c r="AP25" s="73" t="e">
        <f t="shared" si="25"/>
        <v>#REF!</v>
      </c>
      <c r="AQ25" s="73" t="e">
        <f t="shared" si="25"/>
        <v>#REF!</v>
      </c>
      <c r="AR25" s="73" t="e">
        <f t="shared" si="25"/>
        <v>#REF!</v>
      </c>
      <c r="AS25" s="73" t="e">
        <f t="shared" si="25"/>
        <v>#REF!</v>
      </c>
      <c r="AT25" s="73" t="e">
        <f t="shared" si="25"/>
        <v>#REF!</v>
      </c>
      <c r="AU25" s="73" t="e">
        <f t="shared" si="25"/>
        <v>#REF!</v>
      </c>
      <c r="AV25" s="73" t="e">
        <f t="shared" si="25"/>
        <v>#REF!</v>
      </c>
      <c r="AW25" s="73" t="e">
        <f t="shared" si="25"/>
        <v>#REF!</v>
      </c>
      <c r="AX25" s="73" t="e">
        <f t="shared" si="25"/>
        <v>#REF!</v>
      </c>
      <c r="AY25" s="73" t="e">
        <f t="shared" si="25"/>
        <v>#REF!</v>
      </c>
      <c r="AZ25" s="73" t="e">
        <f t="shared" si="25"/>
        <v>#REF!</v>
      </c>
      <c r="BA25" s="73" t="e">
        <f t="shared" si="25"/>
        <v>#REF!</v>
      </c>
      <c r="BB25" s="73" t="e">
        <f t="shared" si="25"/>
        <v>#REF!</v>
      </c>
      <c r="BC25" s="73" t="e">
        <f t="shared" si="25"/>
        <v>#REF!</v>
      </c>
      <c r="BD25" s="73" t="e">
        <f t="shared" si="25"/>
        <v>#REF!</v>
      </c>
      <c r="BE25" s="73" t="e">
        <f t="shared" si="25"/>
        <v>#REF!</v>
      </c>
      <c r="BF25" s="73" t="e">
        <f t="shared" si="25"/>
        <v>#REF!</v>
      </c>
      <c r="BG25" s="73" t="e">
        <f t="shared" si="25"/>
        <v>#REF!</v>
      </c>
      <c r="BH25" s="73" t="e">
        <f t="shared" si="25"/>
        <v>#REF!</v>
      </c>
      <c r="BJ25" s="66"/>
      <c r="BL25" s="67"/>
      <c r="BM25" s="34"/>
    </row>
    <row r="26" spans="1:65" ht="16" hidden="1" x14ac:dyDescent="0.2">
      <c r="H26" s="124"/>
      <c r="I26" s="74"/>
      <c r="J26" s="122"/>
      <c r="K26" s="59"/>
      <c r="L26" s="67"/>
      <c r="M26" s="67"/>
      <c r="N26" s="67"/>
      <c r="O26" s="125"/>
      <c r="P26" s="67"/>
      <c r="Q26" s="67"/>
      <c r="R26" s="67"/>
      <c r="S26" s="67"/>
      <c r="T26" s="67"/>
      <c r="U26" s="67"/>
      <c r="V26" s="67"/>
      <c r="W26" s="67"/>
      <c r="X26" s="126"/>
      <c r="Y26" s="126"/>
      <c r="Z26" s="126"/>
      <c r="AA26" s="126"/>
      <c r="AB26" s="67"/>
      <c r="AC26" s="123"/>
      <c r="AD26" s="123"/>
      <c r="AE26" s="123"/>
      <c r="AF26" s="123"/>
      <c r="AG26" s="123"/>
      <c r="AH26" s="123"/>
      <c r="AI26" s="123"/>
      <c r="AJ26" s="123"/>
      <c r="AK26" s="123"/>
      <c r="AL26" s="123"/>
      <c r="AM26" s="67"/>
      <c r="AN26" s="67"/>
      <c r="AO26" s="67"/>
      <c r="AP26" s="67"/>
      <c r="AQ26" s="67"/>
      <c r="AR26" s="67"/>
      <c r="AS26" s="67"/>
      <c r="AT26" s="67"/>
      <c r="AU26" s="67"/>
      <c r="AV26" s="67"/>
      <c r="AW26" s="67"/>
      <c r="AX26" s="67"/>
      <c r="AY26" s="67"/>
      <c r="AZ26" s="67"/>
      <c r="BA26" s="67"/>
      <c r="BB26" s="67"/>
      <c r="BC26" s="67"/>
      <c r="BD26" s="67"/>
      <c r="BE26" s="67"/>
      <c r="BF26" s="67"/>
      <c r="BG26" s="67"/>
      <c r="BH26" s="67"/>
      <c r="BJ26" s="66"/>
      <c r="BL26" s="67"/>
      <c r="BM26" s="34"/>
    </row>
    <row r="27" spans="1:65" s="140" customFormat="1" ht="18" hidden="1" x14ac:dyDescent="0.2">
      <c r="A27" s="135"/>
      <c r="B27" s="136"/>
      <c r="C27" s="136"/>
      <c r="D27" s="137"/>
      <c r="E27" s="136"/>
      <c r="F27" s="136"/>
      <c r="G27" s="136"/>
      <c r="H27" s="131"/>
      <c r="I27" s="389" t="s">
        <v>157</v>
      </c>
      <c r="J27" s="390"/>
      <c r="K27" s="60">
        <f t="shared" ref="K27:X27" si="26">K102+K97</f>
        <v>100000</v>
      </c>
      <c r="L27" s="60">
        <f t="shared" si="26"/>
        <v>110000</v>
      </c>
      <c r="M27" s="60">
        <f t="shared" si="26"/>
        <v>110000</v>
      </c>
      <c r="N27" s="60">
        <f t="shared" si="26"/>
        <v>110000</v>
      </c>
      <c r="O27" s="61">
        <f t="shared" si="26"/>
        <v>330000</v>
      </c>
      <c r="P27" s="60">
        <f t="shared" si="26"/>
        <v>110000</v>
      </c>
      <c r="Q27" s="60">
        <f t="shared" si="26"/>
        <v>110000</v>
      </c>
      <c r="R27" s="60">
        <f t="shared" si="26"/>
        <v>110000</v>
      </c>
      <c r="S27" s="60">
        <f t="shared" si="26"/>
        <v>150000</v>
      </c>
      <c r="T27" s="60">
        <f t="shared" si="26"/>
        <v>150000</v>
      </c>
      <c r="U27" s="60">
        <f t="shared" si="26"/>
        <v>150000</v>
      </c>
      <c r="V27" s="60">
        <f t="shared" si="26"/>
        <v>150000</v>
      </c>
      <c r="W27" s="61">
        <f t="shared" si="26"/>
        <v>1260000</v>
      </c>
      <c r="X27" s="60">
        <f t="shared" si="26"/>
        <v>1360000</v>
      </c>
      <c r="Y27" s="60"/>
      <c r="Z27" s="60"/>
      <c r="AA27" s="139"/>
      <c r="AB27" s="139">
        <f t="shared" ref="AB27:BH27" si="27">AB102+AB97</f>
        <v>0</v>
      </c>
      <c r="AC27" s="139">
        <f t="shared" si="27"/>
        <v>0</v>
      </c>
      <c r="AD27" s="139">
        <f t="shared" si="27"/>
        <v>0</v>
      </c>
      <c r="AE27" s="139">
        <f t="shared" si="27"/>
        <v>0</v>
      </c>
      <c r="AF27" s="139">
        <f t="shared" si="27"/>
        <v>0</v>
      </c>
      <c r="AG27" s="139">
        <f t="shared" si="27"/>
        <v>0</v>
      </c>
      <c r="AH27" s="139">
        <f t="shared" si="27"/>
        <v>0</v>
      </c>
      <c r="AI27" s="139">
        <f t="shared" si="27"/>
        <v>0</v>
      </c>
      <c r="AJ27" s="139">
        <f t="shared" si="27"/>
        <v>0</v>
      </c>
      <c r="AK27" s="139">
        <f t="shared" si="27"/>
        <v>0</v>
      </c>
      <c r="AL27" s="139">
        <f t="shared" si="27"/>
        <v>0</v>
      </c>
      <c r="AM27" s="139">
        <f t="shared" si="27"/>
        <v>0</v>
      </c>
      <c r="AN27" s="139">
        <f t="shared" si="27"/>
        <v>7000</v>
      </c>
      <c r="AO27" s="139" t="e">
        <f t="shared" si="27"/>
        <v>#REF!</v>
      </c>
      <c r="AP27" s="139" t="e">
        <f t="shared" si="27"/>
        <v>#REF!</v>
      </c>
      <c r="AQ27" s="139" t="e">
        <f t="shared" si="27"/>
        <v>#REF!</v>
      </c>
      <c r="AR27" s="139" t="e">
        <f t="shared" si="27"/>
        <v>#REF!</v>
      </c>
      <c r="AS27" s="139" t="e">
        <f t="shared" si="27"/>
        <v>#REF!</v>
      </c>
      <c r="AT27" s="139" t="e">
        <f t="shared" si="27"/>
        <v>#REF!</v>
      </c>
      <c r="AU27" s="139" t="e">
        <f t="shared" si="27"/>
        <v>#REF!</v>
      </c>
      <c r="AV27" s="139" t="e">
        <f t="shared" si="27"/>
        <v>#REF!</v>
      </c>
      <c r="AW27" s="139" t="e">
        <f t="shared" si="27"/>
        <v>#REF!</v>
      </c>
      <c r="AX27" s="139">
        <f t="shared" si="27"/>
        <v>0</v>
      </c>
      <c r="AY27" s="139">
        <f t="shared" si="27"/>
        <v>0</v>
      </c>
      <c r="AZ27" s="139">
        <f t="shared" si="27"/>
        <v>0</v>
      </c>
      <c r="BA27" s="139">
        <f t="shared" si="27"/>
        <v>0</v>
      </c>
      <c r="BB27" s="139">
        <f t="shared" si="27"/>
        <v>0</v>
      </c>
      <c r="BC27" s="139">
        <f t="shared" si="27"/>
        <v>0</v>
      </c>
      <c r="BD27" s="139">
        <f t="shared" si="27"/>
        <v>0</v>
      </c>
      <c r="BE27" s="139">
        <f t="shared" si="27"/>
        <v>0</v>
      </c>
      <c r="BF27" s="139">
        <f t="shared" si="27"/>
        <v>0</v>
      </c>
      <c r="BG27" s="139">
        <f t="shared" si="27"/>
        <v>0</v>
      </c>
      <c r="BH27" s="139">
        <f t="shared" si="27"/>
        <v>0</v>
      </c>
      <c r="BJ27" s="66"/>
      <c r="BL27" s="133"/>
      <c r="BM27" s="134"/>
    </row>
    <row r="28" spans="1:65" s="140" customFormat="1" ht="18" hidden="1" x14ac:dyDescent="0.2">
      <c r="A28" s="135"/>
      <c r="B28" s="136"/>
      <c r="C28" s="136"/>
      <c r="D28" s="137"/>
      <c r="E28" s="136"/>
      <c r="F28" s="136"/>
      <c r="G28" s="136"/>
      <c r="H28" s="131"/>
      <c r="I28" s="389" t="s">
        <v>158</v>
      </c>
      <c r="J28" s="390"/>
      <c r="K28" s="60">
        <f t="shared" ref="K28:X28" si="28">K94+K95</f>
        <v>4000</v>
      </c>
      <c r="L28" s="60">
        <f t="shared" si="28"/>
        <v>31000</v>
      </c>
      <c r="M28" s="60">
        <f t="shared" si="28"/>
        <v>31000</v>
      </c>
      <c r="N28" s="60">
        <f t="shared" si="28"/>
        <v>12000</v>
      </c>
      <c r="O28" s="61">
        <f t="shared" si="28"/>
        <v>74000</v>
      </c>
      <c r="P28" s="60">
        <f t="shared" si="28"/>
        <v>0</v>
      </c>
      <c r="Q28" s="60">
        <f t="shared" si="28"/>
        <v>0</v>
      </c>
      <c r="R28" s="60">
        <f t="shared" si="28"/>
        <v>0</v>
      </c>
      <c r="S28" s="60">
        <f t="shared" si="28"/>
        <v>0</v>
      </c>
      <c r="T28" s="60">
        <f t="shared" si="28"/>
        <v>0</v>
      </c>
      <c r="U28" s="60">
        <f t="shared" si="28"/>
        <v>0</v>
      </c>
      <c r="V28" s="60">
        <f t="shared" si="28"/>
        <v>0</v>
      </c>
      <c r="W28" s="61">
        <f t="shared" si="28"/>
        <v>74000</v>
      </c>
      <c r="X28" s="60">
        <f t="shared" si="28"/>
        <v>78000</v>
      </c>
      <c r="Y28" s="60"/>
      <c r="Z28" s="60"/>
      <c r="AA28" s="139"/>
      <c r="AB28" s="139">
        <f t="shared" ref="AB28:BH28" si="29">AB94+AB95</f>
        <v>0</v>
      </c>
      <c r="AC28" s="139">
        <f t="shared" si="29"/>
        <v>0</v>
      </c>
      <c r="AD28" s="139">
        <f t="shared" si="29"/>
        <v>0</v>
      </c>
      <c r="AE28" s="139">
        <f t="shared" si="29"/>
        <v>0</v>
      </c>
      <c r="AF28" s="139">
        <f t="shared" si="29"/>
        <v>0</v>
      </c>
      <c r="AG28" s="139">
        <f t="shared" si="29"/>
        <v>0</v>
      </c>
      <c r="AH28" s="139">
        <f t="shared" si="29"/>
        <v>0</v>
      </c>
      <c r="AI28" s="139">
        <f t="shared" si="29"/>
        <v>0</v>
      </c>
      <c r="AJ28" s="139">
        <f t="shared" si="29"/>
        <v>0</v>
      </c>
      <c r="AK28" s="139">
        <f t="shared" si="29"/>
        <v>0</v>
      </c>
      <c r="AL28" s="139">
        <f t="shared" si="29"/>
        <v>0</v>
      </c>
      <c r="AM28" s="139">
        <f t="shared" si="29"/>
        <v>0</v>
      </c>
      <c r="AN28" s="139">
        <f t="shared" si="29"/>
        <v>0</v>
      </c>
      <c r="AO28" s="139" t="e">
        <f t="shared" si="29"/>
        <v>#REF!</v>
      </c>
      <c r="AP28" s="139" t="e">
        <f t="shared" si="29"/>
        <v>#REF!</v>
      </c>
      <c r="AQ28" s="139" t="e">
        <f t="shared" si="29"/>
        <v>#REF!</v>
      </c>
      <c r="AR28" s="139" t="e">
        <f t="shared" si="29"/>
        <v>#REF!</v>
      </c>
      <c r="AS28" s="139" t="e">
        <f t="shared" si="29"/>
        <v>#REF!</v>
      </c>
      <c r="AT28" s="139" t="e">
        <f t="shared" si="29"/>
        <v>#REF!</v>
      </c>
      <c r="AU28" s="139" t="e">
        <f t="shared" si="29"/>
        <v>#REF!</v>
      </c>
      <c r="AV28" s="139" t="e">
        <f t="shared" si="29"/>
        <v>#REF!</v>
      </c>
      <c r="AW28" s="139" t="e">
        <f t="shared" si="29"/>
        <v>#REF!</v>
      </c>
      <c r="AX28" s="139">
        <f t="shared" si="29"/>
        <v>0</v>
      </c>
      <c r="AY28" s="139">
        <f t="shared" si="29"/>
        <v>0</v>
      </c>
      <c r="AZ28" s="139">
        <f t="shared" si="29"/>
        <v>0</v>
      </c>
      <c r="BA28" s="139">
        <f t="shared" si="29"/>
        <v>0</v>
      </c>
      <c r="BB28" s="139">
        <f t="shared" si="29"/>
        <v>0</v>
      </c>
      <c r="BC28" s="139">
        <f t="shared" si="29"/>
        <v>0</v>
      </c>
      <c r="BD28" s="139">
        <f t="shared" si="29"/>
        <v>0</v>
      </c>
      <c r="BE28" s="139">
        <f t="shared" si="29"/>
        <v>0</v>
      </c>
      <c r="BF28" s="139">
        <f t="shared" si="29"/>
        <v>0</v>
      </c>
      <c r="BG28" s="139">
        <f t="shared" si="29"/>
        <v>0</v>
      </c>
      <c r="BH28" s="139">
        <f t="shared" si="29"/>
        <v>0</v>
      </c>
      <c r="BJ28" s="66"/>
      <c r="BL28" s="133"/>
      <c r="BM28" s="134"/>
    </row>
    <row r="29" spans="1:65" s="140" customFormat="1" ht="18" hidden="1" x14ac:dyDescent="0.2">
      <c r="A29" s="135"/>
      <c r="B29" s="136"/>
      <c r="C29" s="136"/>
      <c r="D29" s="137"/>
      <c r="E29" s="136"/>
      <c r="F29" s="136"/>
      <c r="G29" s="136"/>
      <c r="H29" s="131"/>
      <c r="I29" s="389" t="s">
        <v>159</v>
      </c>
      <c r="J29" s="390"/>
      <c r="K29" s="60">
        <f t="shared" ref="K29:X29" si="30">K98+K100+K101+K103+K104+K99</f>
        <v>34000</v>
      </c>
      <c r="L29" s="60">
        <f t="shared" si="30"/>
        <v>63000</v>
      </c>
      <c r="M29" s="60">
        <f t="shared" si="30"/>
        <v>28000</v>
      </c>
      <c r="N29" s="60">
        <f t="shared" si="30"/>
        <v>12700</v>
      </c>
      <c r="O29" s="61">
        <f t="shared" si="30"/>
        <v>103700</v>
      </c>
      <c r="P29" s="60">
        <f t="shared" si="30"/>
        <v>3000</v>
      </c>
      <c r="Q29" s="60">
        <f t="shared" si="30"/>
        <v>15000</v>
      </c>
      <c r="R29" s="60">
        <f t="shared" si="30"/>
        <v>18000</v>
      </c>
      <c r="S29" s="60">
        <f t="shared" si="30"/>
        <v>0</v>
      </c>
      <c r="T29" s="60">
        <f t="shared" si="30"/>
        <v>0</v>
      </c>
      <c r="U29" s="60">
        <f t="shared" si="30"/>
        <v>0</v>
      </c>
      <c r="V29" s="60">
        <f t="shared" si="30"/>
        <v>0</v>
      </c>
      <c r="W29" s="61">
        <f t="shared" si="30"/>
        <v>139700</v>
      </c>
      <c r="X29" s="60">
        <f t="shared" si="30"/>
        <v>173700</v>
      </c>
      <c r="Y29" s="60"/>
      <c r="Z29" s="60"/>
      <c r="AA29" s="139"/>
      <c r="AB29" s="139">
        <f t="shared" ref="AB29:BH29" si="31">AB98+AB100+AB101+AB103+AB104+AB99</f>
        <v>0</v>
      </c>
      <c r="AC29" s="139">
        <f t="shared" si="31"/>
        <v>0</v>
      </c>
      <c r="AD29" s="139">
        <f t="shared" si="31"/>
        <v>0</v>
      </c>
      <c r="AE29" s="139">
        <f t="shared" si="31"/>
        <v>0</v>
      </c>
      <c r="AF29" s="139">
        <f t="shared" si="31"/>
        <v>0</v>
      </c>
      <c r="AG29" s="139">
        <f t="shared" si="31"/>
        <v>0</v>
      </c>
      <c r="AH29" s="139">
        <f t="shared" si="31"/>
        <v>0</v>
      </c>
      <c r="AI29" s="139">
        <f t="shared" si="31"/>
        <v>0</v>
      </c>
      <c r="AJ29" s="139">
        <f t="shared" si="31"/>
        <v>0</v>
      </c>
      <c r="AK29" s="139">
        <f t="shared" si="31"/>
        <v>0</v>
      </c>
      <c r="AL29" s="139">
        <f t="shared" si="31"/>
        <v>0</v>
      </c>
      <c r="AM29" s="139">
        <f t="shared" si="31"/>
        <v>0</v>
      </c>
      <c r="AN29" s="139">
        <f t="shared" si="31"/>
        <v>0</v>
      </c>
      <c r="AO29" s="139" t="e">
        <f t="shared" si="31"/>
        <v>#REF!</v>
      </c>
      <c r="AP29" s="139" t="e">
        <f t="shared" si="31"/>
        <v>#REF!</v>
      </c>
      <c r="AQ29" s="139" t="e">
        <f t="shared" si="31"/>
        <v>#REF!</v>
      </c>
      <c r="AR29" s="139" t="e">
        <f t="shared" si="31"/>
        <v>#REF!</v>
      </c>
      <c r="AS29" s="139" t="e">
        <f t="shared" si="31"/>
        <v>#REF!</v>
      </c>
      <c r="AT29" s="139" t="e">
        <f t="shared" si="31"/>
        <v>#REF!</v>
      </c>
      <c r="AU29" s="139" t="e">
        <f t="shared" si="31"/>
        <v>#REF!</v>
      </c>
      <c r="AV29" s="139" t="e">
        <f t="shared" si="31"/>
        <v>#REF!</v>
      </c>
      <c r="AW29" s="139" t="e">
        <f t="shared" si="31"/>
        <v>#REF!</v>
      </c>
      <c r="AX29" s="139">
        <f t="shared" si="31"/>
        <v>0</v>
      </c>
      <c r="AY29" s="139">
        <f t="shared" si="31"/>
        <v>0</v>
      </c>
      <c r="AZ29" s="139">
        <f t="shared" si="31"/>
        <v>0</v>
      </c>
      <c r="BA29" s="139">
        <f t="shared" si="31"/>
        <v>0</v>
      </c>
      <c r="BB29" s="139">
        <f t="shared" si="31"/>
        <v>0</v>
      </c>
      <c r="BC29" s="139">
        <f t="shared" si="31"/>
        <v>0</v>
      </c>
      <c r="BD29" s="139">
        <f t="shared" si="31"/>
        <v>0</v>
      </c>
      <c r="BE29" s="139">
        <f t="shared" si="31"/>
        <v>0</v>
      </c>
      <c r="BF29" s="139">
        <f t="shared" si="31"/>
        <v>0</v>
      </c>
      <c r="BG29" s="139">
        <f t="shared" si="31"/>
        <v>0</v>
      </c>
      <c r="BH29" s="139">
        <f t="shared" si="31"/>
        <v>0</v>
      </c>
      <c r="BJ29" s="66"/>
      <c r="BL29" s="133"/>
      <c r="BM29" s="134"/>
    </row>
    <row r="30" spans="1:65" s="140" customFormat="1" ht="18" hidden="1" x14ac:dyDescent="0.2">
      <c r="A30" s="135"/>
      <c r="B30" s="136"/>
      <c r="C30" s="136"/>
      <c r="D30" s="137"/>
      <c r="E30" s="136"/>
      <c r="F30" s="136"/>
      <c r="G30" s="136"/>
      <c r="H30" s="131"/>
      <c r="I30" s="389" t="s">
        <v>160</v>
      </c>
      <c r="J30" s="390"/>
      <c r="K30" s="60">
        <f t="shared" ref="K30:R30" si="32">K96+K105</f>
        <v>66500</v>
      </c>
      <c r="L30" s="60">
        <f t="shared" si="32"/>
        <v>40500</v>
      </c>
      <c r="M30" s="60">
        <f t="shared" si="32"/>
        <v>15000</v>
      </c>
      <c r="N30" s="60">
        <f t="shared" si="32"/>
        <v>15000</v>
      </c>
      <c r="O30" s="61">
        <f t="shared" si="32"/>
        <v>70500</v>
      </c>
      <c r="P30" s="60">
        <f t="shared" si="32"/>
        <v>35000</v>
      </c>
      <c r="Q30" s="60">
        <f t="shared" si="32"/>
        <v>35000</v>
      </c>
      <c r="R30" s="60">
        <f t="shared" si="32"/>
        <v>35000</v>
      </c>
      <c r="S30" s="60">
        <f>S96+S105</f>
        <v>0</v>
      </c>
      <c r="T30" s="60">
        <f t="shared" ref="T30:X30" si="33">T96+T105</f>
        <v>0</v>
      </c>
      <c r="U30" s="60">
        <f t="shared" si="33"/>
        <v>0</v>
      </c>
      <c r="V30" s="60">
        <f t="shared" si="33"/>
        <v>0</v>
      </c>
      <c r="W30" s="61">
        <f t="shared" si="33"/>
        <v>175500</v>
      </c>
      <c r="X30" s="60">
        <f t="shared" si="33"/>
        <v>242000</v>
      </c>
      <c r="Y30" s="60"/>
      <c r="Z30" s="60"/>
      <c r="AA30" s="139"/>
      <c r="AB30" s="139">
        <f>AB96+'inv plan efter år 2024'!AB70+AB105</f>
        <v>0</v>
      </c>
      <c r="AC30" s="139">
        <f>AC96+'inv plan efter år 2024'!AC70+AC105</f>
        <v>0</v>
      </c>
      <c r="AD30" s="139">
        <f>AD96+'inv plan efter år 2024'!AD70+AD105</f>
        <v>0</v>
      </c>
      <c r="AE30" s="139">
        <f>AE96+'inv plan efter år 2024'!AE70+AE105</f>
        <v>0</v>
      </c>
      <c r="AF30" s="139">
        <f>AF96+'inv plan efter år 2024'!AF70+AF105</f>
        <v>0</v>
      </c>
      <c r="AG30" s="139">
        <f>AG96+'inv plan efter år 2024'!AG70+AG105</f>
        <v>0</v>
      </c>
      <c r="AH30" s="139">
        <f>AH96+'inv plan efter år 2024'!AH70+AH105</f>
        <v>0</v>
      </c>
      <c r="AI30" s="139">
        <f>AI96+'inv plan efter år 2024'!AI70+AI105</f>
        <v>0</v>
      </c>
      <c r="AJ30" s="139">
        <f>AJ96+'inv plan efter år 2024'!AJ70+AJ105</f>
        <v>0</v>
      </c>
      <c r="AK30" s="139">
        <f>AK96+'inv plan efter år 2024'!AK70+AK105</f>
        <v>0</v>
      </c>
      <c r="AL30" s="139">
        <f>AL96+'inv plan efter år 2024'!AL70+AL105</f>
        <v>0</v>
      </c>
      <c r="AM30" s="139">
        <f>AM96+'inv plan efter år 2024'!AM70+AM105</f>
        <v>0</v>
      </c>
      <c r="AN30" s="139">
        <f>AN96+'inv plan efter år 2024'!AN70+AN105</f>
        <v>0</v>
      </c>
      <c r="AO30" s="139" t="e">
        <f>AO96+'inv plan efter år 2024'!AO70+AO105</f>
        <v>#REF!</v>
      </c>
      <c r="AP30" s="139" t="e">
        <f>AP96+'inv plan efter år 2024'!AP70+AP105</f>
        <v>#REF!</v>
      </c>
      <c r="AQ30" s="139" t="e">
        <f>AQ96+'inv plan efter år 2024'!AQ70+AQ105</f>
        <v>#REF!</v>
      </c>
      <c r="AR30" s="139" t="e">
        <f>AR96+'inv plan efter år 2024'!AR70+AR105</f>
        <v>#REF!</v>
      </c>
      <c r="AS30" s="139" t="e">
        <f>AS96+'inv plan efter år 2024'!AS70+AS105</f>
        <v>#REF!</v>
      </c>
      <c r="AT30" s="139" t="e">
        <f>AT96+'inv plan efter år 2024'!AT70+AT105</f>
        <v>#REF!</v>
      </c>
      <c r="AU30" s="139" t="e">
        <f>AU96+'inv plan efter år 2024'!AU70+AU105</f>
        <v>#REF!</v>
      </c>
      <c r="AV30" s="139" t="e">
        <f>AV96+'inv plan efter år 2024'!AV70+AV105</f>
        <v>#REF!</v>
      </c>
      <c r="AW30" s="139" t="e">
        <f>AW96+'inv plan efter år 2024'!AW70+AW105</f>
        <v>#REF!</v>
      </c>
      <c r="AX30" s="139">
        <f>AX96+'inv plan efter år 2024'!AX70+AX105</f>
        <v>0</v>
      </c>
      <c r="AY30" s="139">
        <f>AY96+'inv plan efter år 2024'!AY70+AY105</f>
        <v>0</v>
      </c>
      <c r="AZ30" s="139">
        <f>AZ96+'inv plan efter år 2024'!AZ70+AZ105</f>
        <v>0</v>
      </c>
      <c r="BA30" s="139">
        <f>BA96+'inv plan efter år 2024'!BA70+BA105</f>
        <v>0</v>
      </c>
      <c r="BB30" s="139">
        <f>BB96+'inv plan efter år 2024'!BB70+BB105</f>
        <v>0</v>
      </c>
      <c r="BC30" s="139">
        <f>BC96+'inv plan efter år 2024'!BC70+BC105</f>
        <v>0</v>
      </c>
      <c r="BD30" s="139">
        <f>BD96+'inv plan efter år 2024'!BD70+BD105</f>
        <v>0</v>
      </c>
      <c r="BE30" s="139">
        <f>BE96+'inv plan efter år 2024'!BE70+BE105</f>
        <v>0</v>
      </c>
      <c r="BF30" s="139">
        <f>BF96+'inv plan efter år 2024'!BF70+BF105</f>
        <v>0</v>
      </c>
      <c r="BG30" s="139">
        <f>BG96+'inv plan efter år 2024'!BG70+BG105</f>
        <v>0</v>
      </c>
      <c r="BH30" s="139">
        <f>BH96+'inv plan efter år 2024'!BH70+BH105</f>
        <v>0</v>
      </c>
      <c r="BJ30" s="66"/>
      <c r="BL30" s="133"/>
      <c r="BM30" s="134"/>
    </row>
    <row r="31" spans="1:65" s="4" customFormat="1" ht="16" hidden="1" x14ac:dyDescent="0.2">
      <c r="A31" s="57"/>
      <c r="D31" s="68"/>
      <c r="I31" s="70" t="s">
        <v>161</v>
      </c>
      <c r="J31" s="71"/>
      <c r="K31" s="73">
        <f t="shared" ref="K31:X31" si="34">SUM(K27:K30)</f>
        <v>204500</v>
      </c>
      <c r="L31" s="73">
        <f t="shared" si="34"/>
        <v>244500</v>
      </c>
      <c r="M31" s="73">
        <f t="shared" si="34"/>
        <v>184000</v>
      </c>
      <c r="N31" s="73">
        <f t="shared" si="34"/>
        <v>149700</v>
      </c>
      <c r="O31" s="73">
        <f t="shared" si="34"/>
        <v>578200</v>
      </c>
      <c r="P31" s="73">
        <f t="shared" si="34"/>
        <v>148000</v>
      </c>
      <c r="Q31" s="73">
        <f t="shared" si="34"/>
        <v>160000</v>
      </c>
      <c r="R31" s="73">
        <f t="shared" si="34"/>
        <v>163000</v>
      </c>
      <c r="S31" s="73">
        <f t="shared" si="34"/>
        <v>150000</v>
      </c>
      <c r="T31" s="73">
        <f t="shared" si="34"/>
        <v>150000</v>
      </c>
      <c r="U31" s="73">
        <f t="shared" si="34"/>
        <v>150000</v>
      </c>
      <c r="V31" s="73">
        <f t="shared" si="34"/>
        <v>150000</v>
      </c>
      <c r="W31" s="73">
        <f t="shared" si="34"/>
        <v>1649200</v>
      </c>
      <c r="X31" s="73">
        <f t="shared" si="34"/>
        <v>1853700</v>
      </c>
      <c r="Y31" s="73"/>
      <c r="Z31" s="73"/>
      <c r="AA31" s="73"/>
      <c r="AB31" s="73">
        <f t="shared" ref="AB31:BH31" si="35">SUM(AB27:AB30)</f>
        <v>0</v>
      </c>
      <c r="AC31" s="73">
        <f t="shared" si="35"/>
        <v>0</v>
      </c>
      <c r="AD31" s="73">
        <f t="shared" si="35"/>
        <v>0</v>
      </c>
      <c r="AE31" s="73">
        <f t="shared" si="35"/>
        <v>0</v>
      </c>
      <c r="AF31" s="73">
        <f t="shared" si="35"/>
        <v>0</v>
      </c>
      <c r="AG31" s="73">
        <f t="shared" si="35"/>
        <v>0</v>
      </c>
      <c r="AH31" s="73">
        <f t="shared" si="35"/>
        <v>0</v>
      </c>
      <c r="AI31" s="73">
        <f t="shared" si="35"/>
        <v>0</v>
      </c>
      <c r="AJ31" s="73">
        <f t="shared" si="35"/>
        <v>0</v>
      </c>
      <c r="AK31" s="73">
        <f t="shared" si="35"/>
        <v>0</v>
      </c>
      <c r="AL31" s="73">
        <f t="shared" si="35"/>
        <v>0</v>
      </c>
      <c r="AM31" s="73">
        <f t="shared" si="35"/>
        <v>0</v>
      </c>
      <c r="AN31" s="73">
        <f t="shared" si="35"/>
        <v>7000</v>
      </c>
      <c r="AO31" s="73" t="e">
        <f t="shared" si="35"/>
        <v>#REF!</v>
      </c>
      <c r="AP31" s="73" t="e">
        <f t="shared" si="35"/>
        <v>#REF!</v>
      </c>
      <c r="AQ31" s="73" t="e">
        <f t="shared" si="35"/>
        <v>#REF!</v>
      </c>
      <c r="AR31" s="73" t="e">
        <f t="shared" si="35"/>
        <v>#REF!</v>
      </c>
      <c r="AS31" s="73" t="e">
        <f t="shared" si="35"/>
        <v>#REF!</v>
      </c>
      <c r="AT31" s="73" t="e">
        <f t="shared" si="35"/>
        <v>#REF!</v>
      </c>
      <c r="AU31" s="73" t="e">
        <f t="shared" si="35"/>
        <v>#REF!</v>
      </c>
      <c r="AV31" s="73" t="e">
        <f t="shared" si="35"/>
        <v>#REF!</v>
      </c>
      <c r="AW31" s="73" t="e">
        <f t="shared" si="35"/>
        <v>#REF!</v>
      </c>
      <c r="AX31" s="73">
        <f t="shared" si="35"/>
        <v>0</v>
      </c>
      <c r="AY31" s="73">
        <f t="shared" si="35"/>
        <v>0</v>
      </c>
      <c r="AZ31" s="73">
        <f t="shared" si="35"/>
        <v>0</v>
      </c>
      <c r="BA31" s="73">
        <f t="shared" si="35"/>
        <v>0</v>
      </c>
      <c r="BB31" s="73">
        <f t="shared" si="35"/>
        <v>0</v>
      </c>
      <c r="BC31" s="73">
        <f t="shared" si="35"/>
        <v>0</v>
      </c>
      <c r="BD31" s="73">
        <f t="shared" si="35"/>
        <v>0</v>
      </c>
      <c r="BE31" s="73">
        <f t="shared" si="35"/>
        <v>0</v>
      </c>
      <c r="BF31" s="73">
        <f t="shared" si="35"/>
        <v>0</v>
      </c>
      <c r="BG31" s="73">
        <f t="shared" si="35"/>
        <v>0</v>
      </c>
      <c r="BH31" s="73">
        <f t="shared" si="35"/>
        <v>0</v>
      </c>
      <c r="BJ31" s="66"/>
      <c r="BL31" s="102"/>
      <c r="BM31" s="103"/>
    </row>
    <row r="32" spans="1:65" ht="16" hidden="1" x14ac:dyDescent="0.2">
      <c r="H32" s="124"/>
      <c r="I32" s="74"/>
      <c r="J32" s="122"/>
      <c r="K32" s="127"/>
      <c r="L32" s="127"/>
      <c r="M32" s="127"/>
      <c r="N32" s="127"/>
      <c r="O32" s="128"/>
      <c r="P32" s="127"/>
      <c r="Q32" s="127"/>
      <c r="R32" s="127"/>
      <c r="S32" s="127"/>
      <c r="T32" s="127"/>
      <c r="U32" s="127"/>
      <c r="V32" s="127"/>
      <c r="W32" s="127"/>
      <c r="X32" s="129"/>
      <c r="Y32" s="129"/>
      <c r="Z32" s="129"/>
      <c r="AA32" s="129"/>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J32" s="66"/>
      <c r="BL32" s="130"/>
      <c r="BM32" s="131"/>
    </row>
    <row r="33" spans="1:65" s="4" customFormat="1" ht="16" hidden="1" x14ac:dyDescent="0.2">
      <c r="A33" s="57"/>
      <c r="B33" s="48"/>
      <c r="C33" s="48"/>
      <c r="D33" s="132"/>
      <c r="E33" s="48"/>
      <c r="F33" s="48"/>
      <c r="G33" s="48"/>
      <c r="I33" s="70" t="s">
        <v>162</v>
      </c>
      <c r="J33" s="71"/>
      <c r="K33" s="73" t="e">
        <f t="shared" ref="K33:X33" si="36">K25+K31</f>
        <v>#REF!</v>
      </c>
      <c r="L33" s="73">
        <f t="shared" si="36"/>
        <v>1498334</v>
      </c>
      <c r="M33" s="73">
        <f t="shared" si="36"/>
        <v>1035406</v>
      </c>
      <c r="N33" s="73">
        <f t="shared" si="36"/>
        <v>817477</v>
      </c>
      <c r="O33" s="73">
        <f t="shared" si="36"/>
        <v>3351217</v>
      </c>
      <c r="P33" s="73">
        <f t="shared" si="36"/>
        <v>790422</v>
      </c>
      <c r="Q33" s="73">
        <f t="shared" si="36"/>
        <v>587200</v>
      </c>
      <c r="R33" s="73">
        <f t="shared" si="36"/>
        <v>478974</v>
      </c>
      <c r="S33" s="73">
        <f t="shared" si="36"/>
        <v>212500</v>
      </c>
      <c r="T33" s="73">
        <f t="shared" si="36"/>
        <v>185000</v>
      </c>
      <c r="U33" s="73">
        <f t="shared" si="36"/>
        <v>155000</v>
      </c>
      <c r="V33" s="73">
        <f t="shared" si="36"/>
        <v>150000</v>
      </c>
      <c r="W33" s="73">
        <f t="shared" si="36"/>
        <v>5910313</v>
      </c>
      <c r="X33" s="73" t="e">
        <f t="shared" si="36"/>
        <v>#REF!</v>
      </c>
      <c r="Y33" s="73"/>
      <c r="Z33" s="73"/>
      <c r="AA33" s="73"/>
      <c r="AB33" s="73" t="e">
        <f t="shared" ref="AB33:BH33" si="37">AB25+AB31</f>
        <v>#REF!</v>
      </c>
      <c r="AC33" s="73" t="e">
        <f t="shared" si="37"/>
        <v>#REF!</v>
      </c>
      <c r="AD33" s="73" t="e">
        <f t="shared" si="37"/>
        <v>#REF!</v>
      </c>
      <c r="AE33" s="73" t="e">
        <f t="shared" si="37"/>
        <v>#REF!</v>
      </c>
      <c r="AF33" s="73" t="e">
        <f t="shared" si="37"/>
        <v>#REF!</v>
      </c>
      <c r="AG33" s="73" t="e">
        <f t="shared" si="37"/>
        <v>#REF!</v>
      </c>
      <c r="AH33" s="73" t="e">
        <f t="shared" si="37"/>
        <v>#REF!</v>
      </c>
      <c r="AI33" s="73" t="e">
        <f t="shared" si="37"/>
        <v>#REF!</v>
      </c>
      <c r="AJ33" s="73" t="e">
        <f t="shared" si="37"/>
        <v>#REF!</v>
      </c>
      <c r="AK33" s="73" t="e">
        <f t="shared" si="37"/>
        <v>#REF!</v>
      </c>
      <c r="AL33" s="73" t="e">
        <f t="shared" si="37"/>
        <v>#REF!</v>
      </c>
      <c r="AM33" s="73" t="e">
        <f t="shared" si="37"/>
        <v>#REF!</v>
      </c>
      <c r="AN33" s="73" t="e">
        <f t="shared" si="37"/>
        <v>#REF!</v>
      </c>
      <c r="AO33" s="73" t="e">
        <f t="shared" si="37"/>
        <v>#REF!</v>
      </c>
      <c r="AP33" s="73" t="e">
        <f t="shared" si="37"/>
        <v>#REF!</v>
      </c>
      <c r="AQ33" s="73" t="e">
        <f t="shared" si="37"/>
        <v>#REF!</v>
      </c>
      <c r="AR33" s="73" t="e">
        <f t="shared" si="37"/>
        <v>#REF!</v>
      </c>
      <c r="AS33" s="73" t="e">
        <f t="shared" si="37"/>
        <v>#REF!</v>
      </c>
      <c r="AT33" s="73" t="e">
        <f t="shared" si="37"/>
        <v>#REF!</v>
      </c>
      <c r="AU33" s="73" t="e">
        <f t="shared" si="37"/>
        <v>#REF!</v>
      </c>
      <c r="AV33" s="73" t="e">
        <f t="shared" si="37"/>
        <v>#REF!</v>
      </c>
      <c r="AW33" s="73" t="e">
        <f t="shared" si="37"/>
        <v>#REF!</v>
      </c>
      <c r="AX33" s="73" t="e">
        <f t="shared" si="37"/>
        <v>#REF!</v>
      </c>
      <c r="AY33" s="73" t="e">
        <f t="shared" si="37"/>
        <v>#REF!</v>
      </c>
      <c r="AZ33" s="73" t="e">
        <f t="shared" si="37"/>
        <v>#REF!</v>
      </c>
      <c r="BA33" s="73" t="e">
        <f t="shared" si="37"/>
        <v>#REF!</v>
      </c>
      <c r="BB33" s="73" t="e">
        <f t="shared" si="37"/>
        <v>#REF!</v>
      </c>
      <c r="BC33" s="73" t="e">
        <f t="shared" si="37"/>
        <v>#REF!</v>
      </c>
      <c r="BD33" s="73" t="e">
        <f t="shared" si="37"/>
        <v>#REF!</v>
      </c>
      <c r="BE33" s="73" t="e">
        <f t="shared" si="37"/>
        <v>#REF!</v>
      </c>
      <c r="BF33" s="73" t="e">
        <f t="shared" si="37"/>
        <v>#REF!</v>
      </c>
      <c r="BG33" s="73" t="e">
        <f t="shared" si="37"/>
        <v>#REF!</v>
      </c>
      <c r="BH33" s="73" t="e">
        <f t="shared" si="37"/>
        <v>#REF!</v>
      </c>
      <c r="BJ33" s="66"/>
      <c r="BL33" s="133"/>
      <c r="BM33" s="134"/>
    </row>
    <row r="34" spans="1:65" s="140" customFormat="1" ht="16" hidden="1" x14ac:dyDescent="0.2">
      <c r="A34" s="135"/>
      <c r="B34" s="136"/>
      <c r="C34" s="136"/>
      <c r="D34" s="137"/>
      <c r="E34" s="136"/>
      <c r="F34" s="136"/>
      <c r="G34" s="136"/>
      <c r="H34" s="131"/>
      <c r="I34" s="131"/>
      <c r="J34" s="138"/>
      <c r="K34" s="139" t="e">
        <f t="shared" ref="K34:X34" si="38">K33-K108</f>
        <v>#REF!</v>
      </c>
      <c r="L34" s="139">
        <f t="shared" si="38"/>
        <v>0</v>
      </c>
      <c r="M34" s="139">
        <f t="shared" si="38"/>
        <v>0</v>
      </c>
      <c r="N34" s="139">
        <f t="shared" si="38"/>
        <v>0</v>
      </c>
      <c r="O34" s="139">
        <f t="shared" si="38"/>
        <v>0</v>
      </c>
      <c r="P34" s="139">
        <f t="shared" si="38"/>
        <v>0</v>
      </c>
      <c r="Q34" s="139">
        <f t="shared" si="38"/>
        <v>0</v>
      </c>
      <c r="R34" s="139">
        <f t="shared" si="38"/>
        <v>0</v>
      </c>
      <c r="S34" s="139">
        <f t="shared" si="38"/>
        <v>20000</v>
      </c>
      <c r="T34" s="139">
        <f t="shared" si="38"/>
        <v>30000</v>
      </c>
      <c r="U34" s="139">
        <f t="shared" si="38"/>
        <v>0</v>
      </c>
      <c r="V34" s="139">
        <f t="shared" si="38"/>
        <v>0</v>
      </c>
      <c r="W34" s="139">
        <f t="shared" si="38"/>
        <v>50000</v>
      </c>
      <c r="X34" s="139" t="e">
        <f t="shared" si="38"/>
        <v>#REF!</v>
      </c>
      <c r="Y34" s="139"/>
      <c r="Z34" s="139"/>
      <c r="AA34" s="139"/>
      <c r="AB34" s="139" t="e">
        <f t="shared" ref="AB34:BH34" si="39">AB33-AB108</f>
        <v>#REF!</v>
      </c>
      <c r="AC34" s="139" t="e">
        <f t="shared" si="39"/>
        <v>#REF!</v>
      </c>
      <c r="AD34" s="139" t="e">
        <f t="shared" si="39"/>
        <v>#REF!</v>
      </c>
      <c r="AE34" s="139" t="e">
        <f t="shared" si="39"/>
        <v>#REF!</v>
      </c>
      <c r="AF34" s="139" t="e">
        <f t="shared" si="39"/>
        <v>#REF!</v>
      </c>
      <c r="AG34" s="139" t="e">
        <f t="shared" si="39"/>
        <v>#REF!</v>
      </c>
      <c r="AH34" s="139" t="e">
        <f t="shared" si="39"/>
        <v>#REF!</v>
      </c>
      <c r="AI34" s="139" t="e">
        <f t="shared" si="39"/>
        <v>#REF!</v>
      </c>
      <c r="AJ34" s="139" t="e">
        <f t="shared" si="39"/>
        <v>#REF!</v>
      </c>
      <c r="AK34" s="139" t="e">
        <f t="shared" si="39"/>
        <v>#REF!</v>
      </c>
      <c r="AL34" s="139" t="e">
        <f t="shared" si="39"/>
        <v>#REF!</v>
      </c>
      <c r="AM34" s="139" t="e">
        <f t="shared" si="39"/>
        <v>#REF!</v>
      </c>
      <c r="AN34" s="139" t="e">
        <f t="shared" si="39"/>
        <v>#REF!</v>
      </c>
      <c r="AO34" s="139" t="e">
        <f t="shared" si="39"/>
        <v>#REF!</v>
      </c>
      <c r="AP34" s="139" t="e">
        <f t="shared" si="39"/>
        <v>#REF!</v>
      </c>
      <c r="AQ34" s="139" t="e">
        <f t="shared" si="39"/>
        <v>#REF!</v>
      </c>
      <c r="AR34" s="139" t="e">
        <f t="shared" si="39"/>
        <v>#REF!</v>
      </c>
      <c r="AS34" s="139" t="e">
        <f t="shared" si="39"/>
        <v>#REF!</v>
      </c>
      <c r="AT34" s="139" t="e">
        <f t="shared" si="39"/>
        <v>#REF!</v>
      </c>
      <c r="AU34" s="139" t="e">
        <f t="shared" si="39"/>
        <v>#REF!</v>
      </c>
      <c r="AV34" s="139" t="e">
        <f t="shared" si="39"/>
        <v>#REF!</v>
      </c>
      <c r="AW34" s="139" t="e">
        <f t="shared" si="39"/>
        <v>#REF!</v>
      </c>
      <c r="AX34" s="139" t="e">
        <f t="shared" si="39"/>
        <v>#REF!</v>
      </c>
      <c r="AY34" s="139" t="e">
        <f t="shared" si="39"/>
        <v>#REF!</v>
      </c>
      <c r="AZ34" s="139" t="e">
        <f t="shared" si="39"/>
        <v>#REF!</v>
      </c>
      <c r="BA34" s="139" t="e">
        <f t="shared" si="39"/>
        <v>#REF!</v>
      </c>
      <c r="BB34" s="139" t="e">
        <f t="shared" si="39"/>
        <v>#REF!</v>
      </c>
      <c r="BC34" s="139" t="e">
        <f t="shared" si="39"/>
        <v>#REF!</v>
      </c>
      <c r="BD34" s="139" t="e">
        <f t="shared" si="39"/>
        <v>#REF!</v>
      </c>
      <c r="BE34" s="139" t="e">
        <f t="shared" si="39"/>
        <v>#REF!</v>
      </c>
      <c r="BF34" s="139" t="e">
        <f t="shared" si="39"/>
        <v>#REF!</v>
      </c>
      <c r="BG34" s="139" t="e">
        <f t="shared" si="39"/>
        <v>#REF!</v>
      </c>
      <c r="BH34" s="139" t="e">
        <f t="shared" si="39"/>
        <v>#REF!</v>
      </c>
      <c r="BJ34" s="66"/>
      <c r="BL34" s="133"/>
      <c r="BM34" s="134"/>
    </row>
    <row r="35" spans="1:65" s="140" customFormat="1" ht="16" x14ac:dyDescent="0.2">
      <c r="A35" s="135"/>
      <c r="B35" s="136"/>
      <c r="C35" s="136"/>
      <c r="D35" s="137"/>
      <c r="E35" s="136"/>
      <c r="F35" s="136"/>
      <c r="G35" s="136"/>
      <c r="H35" s="131"/>
      <c r="I35" s="131"/>
      <c r="J35" s="138"/>
      <c r="K35" s="127"/>
      <c r="L35" s="127"/>
      <c r="M35" s="127"/>
      <c r="N35" s="127"/>
      <c r="O35" s="127"/>
      <c r="P35" s="127"/>
      <c r="Q35" s="127"/>
      <c r="R35" s="127"/>
      <c r="S35" s="127"/>
      <c r="T35" s="127"/>
      <c r="U35" s="127"/>
      <c r="V35" s="127"/>
      <c r="W35" s="127"/>
      <c r="X35" s="127"/>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J35" s="66"/>
      <c r="BL35" s="133"/>
      <c r="BM35" s="134"/>
    </row>
    <row r="36" spans="1:65" s="140" customFormat="1" ht="18" x14ac:dyDescent="0.2">
      <c r="A36" s="135"/>
      <c r="B36" s="136"/>
      <c r="C36" s="136"/>
      <c r="D36" s="137"/>
      <c r="E36" s="136"/>
      <c r="F36" s="136"/>
      <c r="G36" s="136"/>
      <c r="H36" s="131"/>
      <c r="I36" s="345" t="s">
        <v>196</v>
      </c>
      <c r="J36" s="60">
        <f t="shared" ref="J36:Y36" si="40">J45</f>
        <v>0</v>
      </c>
      <c r="K36" s="60">
        <f t="shared" si="40"/>
        <v>0</v>
      </c>
      <c r="L36" s="60">
        <f t="shared" si="40"/>
        <v>120000</v>
      </c>
      <c r="M36" s="60">
        <f t="shared" si="40"/>
        <v>120000</v>
      </c>
      <c r="N36" s="60">
        <f t="shared" si="40"/>
        <v>120000</v>
      </c>
      <c r="O36" s="61">
        <f t="shared" si="40"/>
        <v>360000</v>
      </c>
      <c r="P36" s="60">
        <f t="shared" si="40"/>
        <v>120000</v>
      </c>
      <c r="Q36" s="60">
        <f t="shared" si="40"/>
        <v>120000</v>
      </c>
      <c r="R36" s="60">
        <f t="shared" si="40"/>
        <v>120000</v>
      </c>
      <c r="S36" s="60">
        <f t="shared" si="40"/>
        <v>0</v>
      </c>
      <c r="T36" s="60">
        <f t="shared" si="40"/>
        <v>0</v>
      </c>
      <c r="U36" s="60">
        <f t="shared" si="40"/>
        <v>0</v>
      </c>
      <c r="V36" s="60">
        <f t="shared" si="40"/>
        <v>0</v>
      </c>
      <c r="W36" s="61">
        <f t="shared" si="40"/>
        <v>720000</v>
      </c>
      <c r="X36" s="60">
        <f t="shared" si="40"/>
        <v>720000</v>
      </c>
      <c r="Y36" s="60" t="str">
        <f t="shared" si="40"/>
        <v xml:space="preserve">kostnad baserad på 2 etapper </v>
      </c>
      <c r="Z36" s="60"/>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J36" s="66"/>
      <c r="BL36" s="133"/>
      <c r="BM36" s="134"/>
    </row>
    <row r="37" spans="1:65" s="140" customFormat="1" ht="18" x14ac:dyDescent="0.2">
      <c r="A37" s="135"/>
      <c r="B37" s="136"/>
      <c r="C37" s="136"/>
      <c r="D37" s="137"/>
      <c r="E37" s="136"/>
      <c r="F37" s="136"/>
      <c r="G37" s="136"/>
      <c r="H37" s="131"/>
      <c r="I37" s="345" t="s">
        <v>496</v>
      </c>
      <c r="J37" s="60" t="e">
        <f>J65+J77</f>
        <v>#REF!</v>
      </c>
      <c r="K37" s="60" t="e">
        <f>K65+K77</f>
        <v>#REF!</v>
      </c>
      <c r="L37" s="60">
        <f t="shared" ref="L37:Y37" si="41">L65+L77</f>
        <v>810834</v>
      </c>
      <c r="M37" s="60">
        <f t="shared" si="41"/>
        <v>336026</v>
      </c>
      <c r="N37" s="60">
        <f t="shared" si="41"/>
        <v>483428</v>
      </c>
      <c r="O37" s="61">
        <f t="shared" si="41"/>
        <v>1630288</v>
      </c>
      <c r="P37" s="60">
        <f t="shared" si="41"/>
        <v>522422</v>
      </c>
      <c r="Q37" s="60">
        <f t="shared" si="41"/>
        <v>307200</v>
      </c>
      <c r="R37" s="60">
        <f t="shared" si="41"/>
        <v>195974</v>
      </c>
      <c r="S37" s="60">
        <f t="shared" si="41"/>
        <v>42500</v>
      </c>
      <c r="T37" s="60">
        <f t="shared" si="41"/>
        <v>5000</v>
      </c>
      <c r="U37" s="60">
        <f t="shared" si="41"/>
        <v>5000</v>
      </c>
      <c r="V37" s="60">
        <f t="shared" si="41"/>
        <v>0</v>
      </c>
      <c r="W37" s="61">
        <f t="shared" si="41"/>
        <v>2708384</v>
      </c>
      <c r="X37" s="60" t="e">
        <f t="shared" si="41"/>
        <v>#REF!</v>
      </c>
      <c r="Y37" s="60">
        <f t="shared" si="41"/>
        <v>0</v>
      </c>
      <c r="Z37" s="60"/>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J37" s="66"/>
      <c r="BL37" s="133"/>
      <c r="BM37" s="134"/>
    </row>
    <row r="38" spans="1:65" s="140" customFormat="1" ht="36" x14ac:dyDescent="0.2">
      <c r="A38" s="135"/>
      <c r="B38" s="136"/>
      <c r="C38" s="136"/>
      <c r="D38" s="137"/>
      <c r="E38" s="136"/>
      <c r="F38" s="136"/>
      <c r="G38" s="136"/>
      <c r="H38" s="131"/>
      <c r="I38" s="345" t="s">
        <v>514</v>
      </c>
      <c r="J38" s="60">
        <f>J83</f>
        <v>850000</v>
      </c>
      <c r="K38" s="60">
        <f>K83</f>
        <v>166620</v>
      </c>
      <c r="L38" s="60">
        <f t="shared" ref="L38:X38" si="42">L83</f>
        <v>277000</v>
      </c>
      <c r="M38" s="60">
        <f t="shared" si="42"/>
        <v>358380</v>
      </c>
      <c r="N38" s="60">
        <f t="shared" si="42"/>
        <v>50000</v>
      </c>
      <c r="O38" s="61">
        <f t="shared" si="42"/>
        <v>685380</v>
      </c>
      <c r="P38" s="60">
        <f t="shared" si="42"/>
        <v>0</v>
      </c>
      <c r="Q38" s="60">
        <f t="shared" si="42"/>
        <v>0</v>
      </c>
      <c r="R38" s="60">
        <f t="shared" si="42"/>
        <v>0</v>
      </c>
      <c r="S38" s="60">
        <f t="shared" si="42"/>
        <v>0</v>
      </c>
      <c r="T38" s="60">
        <f t="shared" si="42"/>
        <v>0</v>
      </c>
      <c r="U38" s="60">
        <f t="shared" si="42"/>
        <v>0</v>
      </c>
      <c r="V38" s="60">
        <f t="shared" si="42"/>
        <v>0</v>
      </c>
      <c r="W38" s="61">
        <f t="shared" si="42"/>
        <v>685380</v>
      </c>
      <c r="X38" s="60">
        <f t="shared" si="42"/>
        <v>852000</v>
      </c>
      <c r="Y38" s="60"/>
      <c r="Z38" s="60"/>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J38" s="66"/>
      <c r="BL38" s="133"/>
      <c r="BM38" s="134"/>
    </row>
    <row r="39" spans="1:65" s="140" customFormat="1" ht="18" x14ac:dyDescent="0.2">
      <c r="A39" s="135"/>
      <c r="B39" s="136"/>
      <c r="C39" s="136"/>
      <c r="D39" s="137"/>
      <c r="E39" s="136"/>
      <c r="F39" s="136"/>
      <c r="G39" s="136"/>
      <c r="H39" s="131"/>
      <c r="I39" s="345" t="s">
        <v>497</v>
      </c>
      <c r="J39" s="60">
        <f>J90</f>
        <v>1735</v>
      </c>
      <c r="K39" s="60">
        <f>K90</f>
        <v>4641</v>
      </c>
      <c r="L39" s="60">
        <f t="shared" ref="L39:X39" si="43">L90</f>
        <v>46000</v>
      </c>
      <c r="M39" s="60">
        <f t="shared" si="43"/>
        <v>37000</v>
      </c>
      <c r="N39" s="60">
        <f t="shared" si="43"/>
        <v>14349</v>
      </c>
      <c r="O39" s="61">
        <f t="shared" si="43"/>
        <v>97349</v>
      </c>
      <c r="P39" s="60">
        <f t="shared" si="43"/>
        <v>0</v>
      </c>
      <c r="Q39" s="60">
        <f t="shared" si="43"/>
        <v>0</v>
      </c>
      <c r="R39" s="60">
        <f t="shared" si="43"/>
        <v>0</v>
      </c>
      <c r="S39" s="60">
        <f t="shared" si="43"/>
        <v>0</v>
      </c>
      <c r="T39" s="60">
        <f t="shared" si="43"/>
        <v>0</v>
      </c>
      <c r="U39" s="60">
        <f t="shared" si="43"/>
        <v>0</v>
      </c>
      <c r="V39" s="60">
        <f t="shared" si="43"/>
        <v>0</v>
      </c>
      <c r="W39" s="61">
        <f t="shared" si="43"/>
        <v>97349</v>
      </c>
      <c r="X39" s="60">
        <f t="shared" si="43"/>
        <v>101990</v>
      </c>
      <c r="Y39" s="60"/>
      <c r="Z39" s="60"/>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J39" s="66"/>
      <c r="BL39" s="133"/>
      <c r="BM39" s="134"/>
    </row>
    <row r="40" spans="1:65" s="140" customFormat="1" ht="42.5" customHeight="1" x14ac:dyDescent="0.2">
      <c r="A40" s="135"/>
      <c r="B40" s="136"/>
      <c r="C40" s="136"/>
      <c r="D40" s="137"/>
      <c r="E40" s="136"/>
      <c r="F40" s="136"/>
      <c r="G40" s="136"/>
      <c r="H40" s="131"/>
      <c r="I40" s="345" t="s">
        <v>499</v>
      </c>
      <c r="J40" s="60">
        <f>J106</f>
        <v>274550</v>
      </c>
      <c r="K40" s="60">
        <f>K106</f>
        <v>204500</v>
      </c>
      <c r="L40" s="60">
        <f t="shared" ref="L40:X40" si="44">L106</f>
        <v>244500</v>
      </c>
      <c r="M40" s="60">
        <f t="shared" si="44"/>
        <v>184000</v>
      </c>
      <c r="N40" s="60">
        <f t="shared" si="44"/>
        <v>149700</v>
      </c>
      <c r="O40" s="61">
        <f t="shared" si="44"/>
        <v>578200</v>
      </c>
      <c r="P40" s="60">
        <f t="shared" si="44"/>
        <v>148000</v>
      </c>
      <c r="Q40" s="60">
        <f t="shared" si="44"/>
        <v>160000</v>
      </c>
      <c r="R40" s="60">
        <f t="shared" si="44"/>
        <v>163000</v>
      </c>
      <c r="S40" s="60">
        <f t="shared" si="44"/>
        <v>150000</v>
      </c>
      <c r="T40" s="60">
        <f t="shared" si="44"/>
        <v>150000</v>
      </c>
      <c r="U40" s="60">
        <f t="shared" si="44"/>
        <v>150000</v>
      </c>
      <c r="V40" s="60">
        <f t="shared" si="44"/>
        <v>150000</v>
      </c>
      <c r="W40" s="61">
        <f t="shared" si="44"/>
        <v>1649200</v>
      </c>
      <c r="X40" s="60">
        <f t="shared" si="44"/>
        <v>1853700</v>
      </c>
      <c r="Y40" s="60"/>
      <c r="Z40" s="60"/>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J40" s="66"/>
      <c r="BL40" s="133"/>
      <c r="BM40" s="134"/>
    </row>
    <row r="41" spans="1:65" s="3" customFormat="1" ht="16" x14ac:dyDescent="0.2">
      <c r="A41" s="57"/>
      <c r="B41" s="66"/>
      <c r="C41" s="66"/>
      <c r="D41" s="141"/>
      <c r="E41" s="66"/>
      <c r="F41" s="66"/>
      <c r="G41" s="66"/>
      <c r="H41" s="74"/>
      <c r="I41" s="70"/>
      <c r="J41" s="73" t="e">
        <f>SUM(J37:J40)</f>
        <v>#REF!</v>
      </c>
      <c r="K41" s="73" t="e">
        <f>SUM(K37:K40)</f>
        <v>#REF!</v>
      </c>
      <c r="L41" s="73">
        <f t="shared" ref="L41:X41" si="45">SUM(L36:L40)</f>
        <v>1498334</v>
      </c>
      <c r="M41" s="73">
        <f t="shared" si="45"/>
        <v>1035406</v>
      </c>
      <c r="N41" s="73">
        <f t="shared" si="45"/>
        <v>817477</v>
      </c>
      <c r="O41" s="73">
        <f t="shared" si="45"/>
        <v>3351217</v>
      </c>
      <c r="P41" s="73">
        <f t="shared" si="45"/>
        <v>790422</v>
      </c>
      <c r="Q41" s="73">
        <f t="shared" si="45"/>
        <v>587200</v>
      </c>
      <c r="R41" s="73">
        <f t="shared" si="45"/>
        <v>478974</v>
      </c>
      <c r="S41" s="73">
        <f t="shared" si="45"/>
        <v>192500</v>
      </c>
      <c r="T41" s="73">
        <f t="shared" si="45"/>
        <v>155000</v>
      </c>
      <c r="U41" s="73">
        <f t="shared" si="45"/>
        <v>155000</v>
      </c>
      <c r="V41" s="73">
        <f t="shared" si="45"/>
        <v>150000</v>
      </c>
      <c r="W41" s="73">
        <f t="shared" si="45"/>
        <v>5860313</v>
      </c>
      <c r="X41" s="73" t="e">
        <f t="shared" si="45"/>
        <v>#REF!</v>
      </c>
      <c r="Y41" s="73">
        <f>SUM(Y37:Y40)</f>
        <v>0</v>
      </c>
      <c r="Z41" s="73"/>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J41" s="66"/>
      <c r="BM41" s="143"/>
    </row>
    <row r="42" spans="1:65" s="140" customFormat="1" ht="16" x14ac:dyDescent="0.2">
      <c r="A42" s="135"/>
      <c r="D42" s="352"/>
      <c r="E42" s="353"/>
      <c r="F42" s="353"/>
      <c r="G42" s="353"/>
      <c r="I42" s="354"/>
      <c r="J42" s="353"/>
      <c r="K42" s="355" t="e">
        <f t="shared" ref="K42:Y42" si="46">K41-K108</f>
        <v>#REF!</v>
      </c>
      <c r="L42" s="355">
        <f t="shared" si="46"/>
        <v>0</v>
      </c>
      <c r="M42" s="355">
        <f t="shared" si="46"/>
        <v>0</v>
      </c>
      <c r="N42" s="355">
        <f t="shared" si="46"/>
        <v>0</v>
      </c>
      <c r="O42" s="355">
        <f t="shared" si="46"/>
        <v>0</v>
      </c>
      <c r="P42" s="355">
        <f t="shared" si="46"/>
        <v>0</v>
      </c>
      <c r="Q42" s="355">
        <f t="shared" si="46"/>
        <v>0</v>
      </c>
      <c r="R42" s="355">
        <f t="shared" si="46"/>
        <v>0</v>
      </c>
      <c r="S42" s="355">
        <f t="shared" si="46"/>
        <v>0</v>
      </c>
      <c r="T42" s="355">
        <f t="shared" si="46"/>
        <v>0</v>
      </c>
      <c r="U42" s="355">
        <f t="shared" si="46"/>
        <v>0</v>
      </c>
      <c r="V42" s="355">
        <f t="shared" si="46"/>
        <v>0</v>
      </c>
      <c r="W42" s="355">
        <f t="shared" si="46"/>
        <v>0</v>
      </c>
      <c r="X42" s="355" t="e">
        <f t="shared" si="46"/>
        <v>#REF!</v>
      </c>
      <c r="Y42" s="355">
        <f t="shared" si="46"/>
        <v>0</v>
      </c>
      <c r="Z42" s="136"/>
      <c r="AP42" s="136"/>
      <c r="AQ42" s="136"/>
      <c r="AR42" s="136"/>
      <c r="AS42" s="136"/>
      <c r="AT42" s="136"/>
      <c r="AU42" s="136"/>
      <c r="AV42" s="136"/>
      <c r="AW42" s="136"/>
      <c r="BF42" s="139"/>
      <c r="BJ42" s="136"/>
      <c r="BL42" s="356"/>
    </row>
    <row r="43" spans="1:65" s="102" customFormat="1" ht="48" x14ac:dyDescent="0.2">
      <c r="A43" s="113"/>
      <c r="B43" s="51" t="s">
        <v>185</v>
      </c>
      <c r="C43" s="51" t="s">
        <v>186</v>
      </c>
      <c r="D43" s="156" t="s">
        <v>187</v>
      </c>
      <c r="E43" s="51" t="s">
        <v>188</v>
      </c>
      <c r="F43" s="51" t="s">
        <v>189</v>
      </c>
      <c r="G43" s="51" t="s">
        <v>190</v>
      </c>
      <c r="H43" s="51" t="s">
        <v>191</v>
      </c>
      <c r="I43" s="51" t="s">
        <v>150</v>
      </c>
      <c r="J43" s="115" t="s">
        <v>151</v>
      </c>
      <c r="K43" s="51" t="s">
        <v>6</v>
      </c>
      <c r="L43" s="51" t="s">
        <v>7</v>
      </c>
      <c r="M43" s="51" t="s">
        <v>8</v>
      </c>
      <c r="N43" s="51" t="s">
        <v>9</v>
      </c>
      <c r="O43" s="51" t="s">
        <v>10</v>
      </c>
      <c r="P43" s="51" t="s">
        <v>11</v>
      </c>
      <c r="Q43" s="51" t="s">
        <v>12</v>
      </c>
      <c r="R43" s="51" t="s">
        <v>13</v>
      </c>
      <c r="S43" s="51" t="s">
        <v>14</v>
      </c>
      <c r="T43" s="51" t="s">
        <v>15</v>
      </c>
      <c r="U43" s="51" t="s">
        <v>16</v>
      </c>
      <c r="V43" s="51" t="s">
        <v>17</v>
      </c>
      <c r="W43" s="51" t="s">
        <v>132</v>
      </c>
      <c r="X43" s="51" t="s">
        <v>133</v>
      </c>
      <c r="Y43" s="51" t="s">
        <v>5</v>
      </c>
      <c r="Z43" s="51" t="s">
        <v>192</v>
      </c>
      <c r="AA43" s="51" t="s">
        <v>193</v>
      </c>
      <c r="AB43" s="116" t="s">
        <v>136</v>
      </c>
      <c r="AC43" s="117" t="s">
        <v>78</v>
      </c>
      <c r="AD43" s="117" t="s">
        <v>79</v>
      </c>
      <c r="AE43" s="117" t="s">
        <v>80</v>
      </c>
      <c r="AF43" s="117" t="s">
        <v>81</v>
      </c>
      <c r="AG43" s="117" t="s">
        <v>82</v>
      </c>
      <c r="AH43" s="117" t="s">
        <v>83</v>
      </c>
      <c r="AI43" s="117" t="s">
        <v>84</v>
      </c>
      <c r="AJ43" s="117" t="s">
        <v>85</v>
      </c>
      <c r="AK43" s="117" t="s">
        <v>86</v>
      </c>
      <c r="AL43" s="117" t="s">
        <v>87</v>
      </c>
      <c r="AM43" s="116" t="s">
        <v>88</v>
      </c>
      <c r="AN43" s="116" t="s">
        <v>89</v>
      </c>
      <c r="AO43" s="116" t="s">
        <v>90</v>
      </c>
      <c r="AP43" s="116" t="s">
        <v>91</v>
      </c>
      <c r="AQ43" s="116" t="s">
        <v>92</v>
      </c>
      <c r="AR43" s="116" t="s">
        <v>93</v>
      </c>
      <c r="AS43" s="116" t="s">
        <v>94</v>
      </c>
      <c r="AT43" s="116" t="s">
        <v>95</v>
      </c>
      <c r="AU43" s="116" t="s">
        <v>96</v>
      </c>
      <c r="AV43" s="116" t="s">
        <v>97</v>
      </c>
      <c r="AW43" s="116" t="s">
        <v>98</v>
      </c>
      <c r="AX43" s="118" t="s">
        <v>137</v>
      </c>
      <c r="AY43" s="118" t="s">
        <v>138</v>
      </c>
      <c r="AZ43" s="118" t="s">
        <v>139</v>
      </c>
      <c r="BA43" s="118" t="s">
        <v>140</v>
      </c>
      <c r="BB43" s="118" t="s">
        <v>141</v>
      </c>
      <c r="BC43" s="118" t="s">
        <v>142</v>
      </c>
      <c r="BD43" s="118" t="s">
        <v>143</v>
      </c>
      <c r="BE43" s="118" t="s">
        <v>144</v>
      </c>
      <c r="BF43" s="118" t="s">
        <v>145</v>
      </c>
      <c r="BG43" s="118" t="s">
        <v>146</v>
      </c>
      <c r="BH43" s="118" t="s">
        <v>147</v>
      </c>
      <c r="BI43" s="4"/>
      <c r="BJ43" s="66"/>
    </row>
    <row r="44" spans="1:65" x14ac:dyDescent="0.15">
      <c r="B44" s="157"/>
      <c r="K44" s="3"/>
      <c r="L44" s="3"/>
      <c r="W44" s="42"/>
      <c r="AD44" s="2"/>
      <c r="AE44" s="2"/>
      <c r="AF44" s="2"/>
      <c r="AG44" s="2"/>
      <c r="AH44" s="2"/>
      <c r="AI44" s="2"/>
      <c r="AJ44" s="2"/>
      <c r="AK44" s="2"/>
      <c r="AL44" s="2"/>
      <c r="AO44" s="2"/>
      <c r="AP44" s="2"/>
      <c r="AQ44" s="2"/>
      <c r="AR44" s="2"/>
      <c r="AS44" s="2"/>
      <c r="AT44" s="2"/>
      <c r="AU44" s="2"/>
      <c r="AV44" s="2"/>
      <c r="AW44" s="2"/>
      <c r="BJ44" s="66"/>
    </row>
    <row r="45" spans="1:65" s="126" customFormat="1" ht="27.75" customHeight="1" outlineLevel="1" x14ac:dyDescent="0.2">
      <c r="A45" s="357">
        <v>1</v>
      </c>
      <c r="B45" s="168"/>
      <c r="C45" s="168" t="s">
        <v>196</v>
      </c>
      <c r="D45" s="177"/>
      <c r="E45" s="168" t="s">
        <v>197</v>
      </c>
      <c r="F45" s="168">
        <v>0</v>
      </c>
      <c r="G45" s="169" t="s">
        <v>198</v>
      </c>
      <c r="H45" s="168" t="s">
        <v>199</v>
      </c>
      <c r="I45" s="108" t="s">
        <v>200</v>
      </c>
      <c r="J45" s="108"/>
      <c r="K45" s="108"/>
      <c r="L45" s="108">
        <v>120000</v>
      </c>
      <c r="M45" s="108">
        <v>120000</v>
      </c>
      <c r="N45" s="108">
        <v>120000</v>
      </c>
      <c r="O45" s="172">
        <f>L45+M45+N45</f>
        <v>360000</v>
      </c>
      <c r="P45" s="108">
        <v>120000</v>
      </c>
      <c r="Q45" s="108">
        <v>120000</v>
      </c>
      <c r="R45" s="108">
        <v>120000</v>
      </c>
      <c r="S45" s="108">
        <v>0</v>
      </c>
      <c r="T45" s="108"/>
      <c r="U45" s="108"/>
      <c r="V45" s="108"/>
      <c r="W45" s="146">
        <f>O45+P45+Q45+R45+S45+T45+U45+V45</f>
        <v>720000</v>
      </c>
      <c r="X45" s="174">
        <f>K45+L45+M45+N45+P45+Q45+R45+S45+T45+U45+V45</f>
        <v>720000</v>
      </c>
      <c r="Y45" s="175" t="s">
        <v>201</v>
      </c>
      <c r="Z45" s="175" t="s">
        <v>202</v>
      </c>
      <c r="AA45" s="175" t="s">
        <v>203</v>
      </c>
      <c r="AB45" s="62"/>
      <c r="AC45" s="63"/>
      <c r="AD45" s="176"/>
      <c r="AE45" s="176"/>
      <c r="AF45" s="176" t="e">
        <f>'[1]Omb Vårdavd AS'!L8</f>
        <v>#REF!</v>
      </c>
      <c r="AG45" s="176" t="e">
        <f>'[1]Omb Vårdavd AS'!M8</f>
        <v>#REF!</v>
      </c>
      <c r="AH45" s="176" t="e">
        <f>'[1]Omb Vårdavd AS'!N8</f>
        <v>#REF!</v>
      </c>
      <c r="AI45" s="176" t="e">
        <f>'[1]Omb Vårdavd AS'!O8+'[1]Omb Vårdavd AS'!L8</f>
        <v>#REF!</v>
      </c>
      <c r="AJ45" s="176" t="e">
        <f>'[1]Omb Vårdavd AS'!P8+'[1]Omb Vårdavd AS'!M8</f>
        <v>#REF!</v>
      </c>
      <c r="AK45" s="176" t="e">
        <f>'[1]Omb Vårdavd AS'!Q8+'[1]Omb Vårdavd AS'!N8</f>
        <v>#REF!</v>
      </c>
      <c r="AL45" s="176" t="e">
        <f>'[1]Omb Vårdavd AS'!R8+'[1]Omb Vårdavd AS'!O8</f>
        <v>#REF!</v>
      </c>
      <c r="AM45" s="62"/>
      <c r="AN45" s="64"/>
      <c r="AO45" s="171"/>
      <c r="AP45" s="171"/>
      <c r="AQ45" s="171" t="e">
        <f>-'[1]Omb Vårdavd AS'!L22</f>
        <v>#REF!</v>
      </c>
      <c r="AR45" s="171" t="e">
        <f>-'[1]Omb Vårdavd AS'!M22</f>
        <v>#REF!</v>
      </c>
      <c r="AS45" s="171" t="e">
        <f>-'[1]Omb Vårdavd AS'!N22</f>
        <v>#REF!</v>
      </c>
      <c r="AT45" s="171" t="e">
        <f>-'[1]Omb Vårdavd AS'!O22-'[1]Omb Vårdavd AS'!L22</f>
        <v>#REF!</v>
      </c>
      <c r="AU45" s="171" t="e">
        <f>-'[1]Omb Vårdavd AS'!P22-'[1]Omb Vårdavd AS'!M22</f>
        <v>#REF!</v>
      </c>
      <c r="AV45" s="171" t="e">
        <f>-'[1]Omb Vårdavd AS'!Q22-'[1]Omb Vårdavd AS'!N22</f>
        <v>#REF!</v>
      </c>
      <c r="AW45" s="171" t="e">
        <f>-'[1]Omb Vårdavd AS'!R22-'[1]Omb Vårdavd AS'!O22</f>
        <v>#REF!</v>
      </c>
      <c r="AX45" s="65"/>
      <c r="AY45" s="65"/>
      <c r="AZ45" s="65"/>
      <c r="BA45" s="65"/>
      <c r="BB45" s="65"/>
      <c r="BC45" s="65"/>
      <c r="BD45" s="65"/>
      <c r="BE45" s="65"/>
      <c r="BF45" s="65"/>
      <c r="BG45" s="65"/>
      <c r="BH45" s="65"/>
      <c r="BI45" s="158"/>
      <c r="BJ45" s="158"/>
    </row>
    <row r="46" spans="1:65" x14ac:dyDescent="0.15">
      <c r="A46" s="358"/>
      <c r="B46" s="157" t="s">
        <v>194</v>
      </c>
      <c r="K46" s="3"/>
      <c r="L46" s="3"/>
      <c r="W46" s="42"/>
      <c r="AD46" s="2"/>
      <c r="AE46" s="2"/>
      <c r="AF46" s="2"/>
      <c r="AG46" s="2"/>
      <c r="AH46" s="2"/>
      <c r="AI46" s="2"/>
      <c r="AJ46" s="2"/>
      <c r="AK46" s="2"/>
      <c r="AL46" s="2"/>
      <c r="AO46" s="2"/>
      <c r="AP46" s="2"/>
      <c r="AQ46" s="2"/>
      <c r="AR46" s="2"/>
      <c r="AS46" s="2"/>
      <c r="AT46" s="2"/>
      <c r="AU46" s="2"/>
      <c r="AV46" s="2"/>
      <c r="AW46" s="2"/>
      <c r="BJ46" s="66"/>
    </row>
    <row r="47" spans="1:65" s="102" customFormat="1" ht="16" x14ac:dyDescent="0.2">
      <c r="A47" s="357"/>
      <c r="B47" s="159" t="s">
        <v>194</v>
      </c>
      <c r="C47" s="160" t="s">
        <v>195</v>
      </c>
      <c r="D47" s="161"/>
      <c r="E47" s="160"/>
      <c r="F47" s="160"/>
      <c r="G47" s="160"/>
      <c r="H47" s="160"/>
      <c r="I47" s="160"/>
      <c r="J47" s="162"/>
      <c r="K47" s="163"/>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4"/>
      <c r="BJ47" s="4"/>
    </row>
    <row r="48" spans="1:65" outlineLevel="1" x14ac:dyDescent="0.15">
      <c r="A48" s="358"/>
      <c r="AP48" s="165"/>
      <c r="AQ48" s="165"/>
      <c r="AR48" s="165"/>
      <c r="AS48" s="165"/>
      <c r="AT48" s="165"/>
      <c r="AU48" s="165"/>
      <c r="AV48" s="165"/>
      <c r="AW48" s="165"/>
    </row>
    <row r="49" spans="1:62" s="126" customFormat="1" ht="32" outlineLevel="1" x14ac:dyDescent="0.2">
      <c r="A49" s="357">
        <v>4</v>
      </c>
      <c r="B49" s="147" t="s">
        <v>167</v>
      </c>
      <c r="C49" s="147" t="s">
        <v>211</v>
      </c>
      <c r="D49" s="347" t="s">
        <v>212</v>
      </c>
      <c r="E49" s="147" t="s">
        <v>213</v>
      </c>
      <c r="F49" s="147">
        <v>1</v>
      </c>
      <c r="G49" s="179" t="s">
        <v>214</v>
      </c>
      <c r="H49" s="168" t="s">
        <v>199</v>
      </c>
      <c r="I49" s="168" t="s">
        <v>200</v>
      </c>
      <c r="J49" s="147">
        <v>950</v>
      </c>
      <c r="K49" s="108"/>
      <c r="L49" s="108"/>
      <c r="M49" s="108"/>
      <c r="N49" s="108"/>
      <c r="O49" s="172">
        <f t="shared" ref="O49:O64" si="47">L49+M49+N49</f>
        <v>0</v>
      </c>
      <c r="P49" s="108">
        <v>5000</v>
      </c>
      <c r="Q49" s="108">
        <f>20000</f>
        <v>20000</v>
      </c>
      <c r="R49" s="108">
        <v>50000</v>
      </c>
      <c r="S49" s="108">
        <v>25000</v>
      </c>
      <c r="T49" s="108"/>
      <c r="U49" s="108"/>
      <c r="V49" s="108"/>
      <c r="W49" s="146">
        <f t="shared" ref="W49:W64" si="48">O49+P49+Q49+R49+S49+T49+U49+V49</f>
        <v>100000</v>
      </c>
      <c r="X49" s="174">
        <f t="shared" ref="X49:X64" si="49">K49+L49+M49+N49+P49+Q49+R49+S49+T49+U49+V49</f>
        <v>100000</v>
      </c>
      <c r="Y49" s="175"/>
      <c r="Z49" s="175" t="s">
        <v>215</v>
      </c>
      <c r="AA49" s="175" t="s">
        <v>216</v>
      </c>
      <c r="AB49" s="62"/>
      <c r="AC49" s="63"/>
      <c r="AD49" s="63"/>
      <c r="AE49" s="63"/>
      <c r="AF49" s="63"/>
      <c r="AG49" s="63"/>
      <c r="AH49" s="63"/>
      <c r="AI49" s="185" t="e">
        <f>'[1]3 nya Arytmilab'!L8</f>
        <v>#REF!</v>
      </c>
      <c r="AJ49" s="185" t="e">
        <f>'[1]3 nya Arytmilab'!M8</f>
        <v>#REF!</v>
      </c>
      <c r="AK49" s="185" t="e">
        <f>'[1]3 nya Arytmilab'!N8</f>
        <v>#REF!</v>
      </c>
      <c r="AL49" s="185" t="e">
        <f>'[1]3 nya Arytmilab'!O8</f>
        <v>#REF!</v>
      </c>
      <c r="AM49" s="62"/>
      <c r="AN49" s="64"/>
      <c r="AO49" s="64"/>
      <c r="AP49" s="64"/>
      <c r="AQ49" s="64"/>
      <c r="AR49" s="64"/>
      <c r="AS49" s="64"/>
      <c r="AT49" s="185" t="e">
        <f>-'[1]3 nya Arytmilab'!L22</f>
        <v>#REF!</v>
      </c>
      <c r="AU49" s="185" t="e">
        <f>-'[1]3 nya Arytmilab'!M22</f>
        <v>#REF!</v>
      </c>
      <c r="AV49" s="185" t="e">
        <f>-'[1]3 nya Arytmilab'!N22</f>
        <v>#REF!</v>
      </c>
      <c r="AW49" s="185" t="e">
        <f>-'[1]3 nya Arytmilab'!O22</f>
        <v>#REF!</v>
      </c>
      <c r="AX49" s="65"/>
      <c r="AY49" s="65"/>
      <c r="AZ49" s="65"/>
      <c r="BA49" s="65"/>
      <c r="BB49" s="65"/>
      <c r="BC49" s="65"/>
      <c r="BD49" s="65"/>
      <c r="BE49" s="65"/>
      <c r="BF49" s="65"/>
      <c r="BG49" s="65"/>
      <c r="BH49" s="65"/>
      <c r="BI49" s="158"/>
      <c r="BJ49" s="158"/>
    </row>
    <row r="50" spans="1:62" s="67" customFormat="1" ht="49.5" customHeight="1" outlineLevel="1" x14ac:dyDescent="0.2">
      <c r="A50" s="357">
        <v>6</v>
      </c>
      <c r="B50" s="168" t="s">
        <v>167</v>
      </c>
      <c r="C50" s="168" t="s">
        <v>222</v>
      </c>
      <c r="D50" s="188"/>
      <c r="E50" s="168" t="s">
        <v>223</v>
      </c>
      <c r="F50" s="168">
        <v>0</v>
      </c>
      <c r="G50" s="169" t="s">
        <v>224</v>
      </c>
      <c r="H50" s="168" t="s">
        <v>199</v>
      </c>
      <c r="I50" s="168" t="s">
        <v>200</v>
      </c>
      <c r="J50" s="147"/>
      <c r="K50" s="108">
        <v>5000</v>
      </c>
      <c r="L50" s="108">
        <v>5000</v>
      </c>
      <c r="M50" s="108">
        <v>5000</v>
      </c>
      <c r="N50" s="108">
        <v>5000</v>
      </c>
      <c r="O50" s="172">
        <f t="shared" si="47"/>
        <v>15000</v>
      </c>
      <c r="P50" s="108">
        <v>5000</v>
      </c>
      <c r="Q50" s="108">
        <v>5000</v>
      </c>
      <c r="R50" s="108">
        <v>5000</v>
      </c>
      <c r="S50" s="108">
        <v>5000</v>
      </c>
      <c r="T50" s="108">
        <v>5000</v>
      </c>
      <c r="U50" s="108">
        <v>5000</v>
      </c>
      <c r="V50" s="108"/>
      <c r="W50" s="146">
        <f t="shared" si="48"/>
        <v>45000</v>
      </c>
      <c r="X50" s="174">
        <f t="shared" si="49"/>
        <v>50000</v>
      </c>
      <c r="Y50" s="175"/>
      <c r="Z50" s="175" t="s">
        <v>225</v>
      </c>
      <c r="AA50" s="175" t="s">
        <v>226</v>
      </c>
      <c r="AB50" s="62"/>
      <c r="AC50" s="63" t="e">
        <f>'[1]omb i samband med utr 2018'!L8</f>
        <v>#REF!</v>
      </c>
      <c r="AD50" s="63" t="e">
        <f>'[1]omb i samband med utr 2018'!M8+'[1]omb i samband med utr 2018'!L8</f>
        <v>#REF!</v>
      </c>
      <c r="AE50" s="63" t="e">
        <f>'[1]omb i samband med utr 2018'!N8+'[1]omb i samband med utr 2018'!M8+'[1]omb i samband med utr 2018'!L8</f>
        <v>#REF!</v>
      </c>
      <c r="AF50" s="63" t="e">
        <f>'[1]omb i samband med utr 2018'!O8+'[1]omb i samband med utr 2018'!N8+'[1]omb i samband med utr 2018'!M8+'[1]omb i samband med utr 2018'!L8</f>
        <v>#REF!</v>
      </c>
      <c r="AG50" s="63" t="e">
        <f>'[1]omb i samband med utr 2018'!P8+'[1]omb i samband med utr 2018'!O8+'[1]omb i samband med utr 2018'!N8+'[1]omb i samband med utr 2018'!M8+'[1]omb i samband med utr 2018'!L8</f>
        <v>#REF!</v>
      </c>
      <c r="AH50" s="63" t="e">
        <f>'[1]omb i samband med utr 2018'!Q8+'[1]omb i samband med utr 2018'!P8+'[1]omb i samband med utr 2018'!O8+'[1]omb i samband med utr 2018'!N8+'[1]omb i samband med utr 2018'!M8+'[1]omb i samband med utr 2018'!M8</f>
        <v>#REF!</v>
      </c>
      <c r="AI50" s="63" t="e">
        <f>'[1]omb i samband med utr 2018'!R8+'[1]omb i samband med utr 2018'!Q8+'[1]omb i samband med utr 2018'!P8+'[1]omb i samband med utr 2018'!O8+'[1]omb i samband med utr 2018'!N8+'[1]omb i samband med utr 2018'!N8+'[1]omb i samband med utr 2018'!M8</f>
        <v>#REF!</v>
      </c>
      <c r="AJ50" s="63" t="e">
        <f>'[1]omb i samband med utr 2018'!S8+'[1]omb i samband med utr 2018'!R8+'[1]omb i samband med utr 2018'!Q8+'[1]omb i samband med utr 2018'!P8+'[1]omb i samband med utr 2018'!O8+'[1]omb i samband med utr 2018'!O8+'[1]omb i samband med utr 2018'!N8+'[1]omb i samband med utr 2018'!M8</f>
        <v>#REF!</v>
      </c>
      <c r="AK50" s="63" t="e">
        <f>'[1]omb i samband med utr 2018'!T8+'[1]omb i samband med utr 2018'!S8+'[1]omb i samband med utr 2018'!R8+'[1]omb i samband med utr 2018'!Q8+'[1]omb i samband med utr 2018'!P8+'[1]omb i samband med utr 2018'!P8+'[1]omb i samband med utr 2018'!O8+'[1]omb i samband med utr 2018'!N8+'[1]omb i samband med utr 2018'!M8</f>
        <v>#REF!</v>
      </c>
      <c r="AL50" s="63" t="e">
        <f>'[1]omb i samband med utr 2018'!U8+'[1]omb i samband med utr 2018'!T8+'[1]omb i samband med utr 2018'!S8+'[1]omb i samband med utr 2018'!R8+'[1]omb i samband med utr 2018'!Q8+'[1]omb i samband med utr 2018'!Q8+'[1]omb i samband med utr 2018'!P8+'[1]omb i samband med utr 2018'!O8+'[1]omb i samband med utr 2018'!N8+'[1]omb i samband med utr 2018'!L8</f>
        <v>#REF!</v>
      </c>
      <c r="AM50" s="62"/>
      <c r="AN50" s="64" t="e">
        <f>-'[1]omb i samband med utr 2018'!L22</f>
        <v>#REF!</v>
      </c>
      <c r="AO50" s="64" t="e">
        <f>-'[1]omb i samband med utr 2018'!M22-'[1]omb i samband med utr 2018'!L22</f>
        <v>#REF!</v>
      </c>
      <c r="AP50" s="64" t="e">
        <f>-'[1]omb i samband med utr 2018'!N22-'[1]omb i samband med utr 2018'!M22-'[1]omb i samband med utr 2018'!L22</f>
        <v>#REF!</v>
      </c>
      <c r="AQ50" s="64" t="e">
        <f>-'[1]omb i samband med utr 2018'!O22-'[1]omb i samband med utr 2018'!N22-'[1]omb i samband med utr 2018'!M22-'[1]omb i samband med utr 2018'!L22</f>
        <v>#REF!</v>
      </c>
      <c r="AR50" s="64" t="e">
        <f>-'[1]omb i samband med utr 2018'!P22-'[1]omb i samband med utr 2018'!O22-'[1]omb i samband med utr 2018'!N22-'[1]omb i samband med utr 2018'!M22-'[1]omb i samband med utr 2018'!L22</f>
        <v>#REF!</v>
      </c>
      <c r="AS50" s="64" t="e">
        <f>-'[1]omb i samband med utr 2018'!Q22-'[1]omb i samband med utr 2018'!P22-'[1]omb i samband med utr 2018'!O22-'[1]omb i samband med utr 2018'!N22-'[1]omb i samband med utr 2018'!M22-'[1]omb i samband med utr 2018'!L22</f>
        <v>#REF!</v>
      </c>
      <c r="AT50" s="64" t="e">
        <f>-'[1]omb i samband med utr 2018'!R22-'[1]omb i samband med utr 2018'!Q22-'[1]omb i samband med utr 2018'!P22-'[1]omb i samband med utr 2018'!O22-'[1]omb i samband med utr 2018'!N22-'[1]omb i samband med utr 2018'!M22-'[1]omb i samband med utr 2018'!L22</f>
        <v>#REF!</v>
      </c>
      <c r="AU50" s="64" t="e">
        <f>-'[1]omb i samband med utr 2018'!S22-'[1]omb i samband med utr 2018'!R22-'[1]omb i samband med utr 2018'!Q22-'[1]omb i samband med utr 2018'!P22-'[1]omb i samband med utr 2018'!O22-'[1]omb i samband med utr 2018'!N22-'[1]omb i samband med utr 2018'!M22-'[1]omb i samband med utr 2018'!L22</f>
        <v>#REF!</v>
      </c>
      <c r="AV50" s="64" t="e">
        <f>-'[1]omb i samband med utr 2018'!T22-'[1]omb i samband med utr 2018'!S22-'[1]omb i samband med utr 2018'!R22-'[1]omb i samband med utr 2018'!Q22-'[1]omb i samband med utr 2018'!P22-'[1]omb i samband med utr 2018'!O22-'[1]omb i samband med utr 2018'!N22-'[1]omb i samband med utr 2018'!M22-'[1]omb i samband med utr 2018'!L22</f>
        <v>#REF!</v>
      </c>
      <c r="AW50" s="64" t="e">
        <f>-'[1]omb i samband med utr 2018'!U22-'[1]omb i samband med utr 2018'!T22-'[1]omb i samband med utr 2018'!S22-'[1]omb i samband med utr 2018'!R22-'[1]omb i samband med utr 2018'!Q22-'[1]omb i samband med utr 2018'!P22-'[1]omb i samband med utr 2018'!O22-'[1]omb i samband med utr 2018'!N22-'[1]omb i samband med utr 2018'!M22-'[1]omb i samband med utr 2018'!L22</f>
        <v>#REF!</v>
      </c>
      <c r="AX50" s="65"/>
      <c r="AY50" s="65"/>
      <c r="AZ50" s="65"/>
      <c r="BA50" s="65"/>
      <c r="BB50" s="65"/>
      <c r="BC50" s="65"/>
      <c r="BD50" s="65"/>
      <c r="BE50" s="65"/>
      <c r="BF50" s="65"/>
      <c r="BG50" s="65"/>
      <c r="BH50" s="65"/>
      <c r="BI50" s="3"/>
      <c r="BJ50" s="3"/>
    </row>
    <row r="51" spans="1:62" s="126" customFormat="1" ht="16" hidden="1" outlineLevel="1" x14ac:dyDescent="0.2">
      <c r="A51" s="357"/>
      <c r="B51" s="168"/>
      <c r="C51" s="168"/>
      <c r="D51" s="177"/>
      <c r="E51" s="168"/>
      <c r="F51" s="168"/>
      <c r="G51" s="169"/>
      <c r="H51" s="168"/>
      <c r="I51" s="168"/>
      <c r="J51" s="147"/>
      <c r="K51" s="108"/>
      <c r="L51" s="108"/>
      <c r="M51" s="108"/>
      <c r="N51" s="108"/>
      <c r="O51" s="172">
        <f t="shared" si="47"/>
        <v>0</v>
      </c>
      <c r="P51" s="108"/>
      <c r="Q51" s="108"/>
      <c r="R51" s="108"/>
      <c r="S51" s="108"/>
      <c r="T51" s="108"/>
      <c r="U51" s="108"/>
      <c r="V51" s="108"/>
      <c r="W51" s="146">
        <f t="shared" si="48"/>
        <v>0</v>
      </c>
      <c r="X51" s="189">
        <f t="shared" si="49"/>
        <v>0</v>
      </c>
      <c r="Y51" s="175"/>
      <c r="Z51" s="175"/>
      <c r="AA51" s="175"/>
      <c r="AB51" s="62"/>
      <c r="AC51" s="63"/>
      <c r="AD51" s="63"/>
      <c r="AE51" s="63"/>
      <c r="AF51" s="63"/>
      <c r="AG51" s="63"/>
      <c r="AH51" s="63"/>
      <c r="AI51" s="63"/>
      <c r="AJ51" s="63"/>
      <c r="AK51" s="63"/>
      <c r="AL51" s="63"/>
      <c r="AM51" s="62"/>
      <c r="AN51" s="64"/>
      <c r="AO51" s="64"/>
      <c r="AP51" s="64"/>
      <c r="AQ51" s="64"/>
      <c r="AR51" s="64"/>
      <c r="AS51" s="64"/>
      <c r="AT51" s="64"/>
      <c r="AU51" s="64"/>
      <c r="AV51" s="64"/>
      <c r="AW51" s="64"/>
      <c r="AX51" s="65"/>
      <c r="AY51" s="65"/>
      <c r="AZ51" s="65"/>
      <c r="BA51" s="65"/>
      <c r="BB51" s="65"/>
      <c r="BC51" s="65"/>
      <c r="BD51" s="65"/>
      <c r="BE51" s="65"/>
      <c r="BF51" s="65"/>
      <c r="BG51" s="65"/>
      <c r="BH51" s="65"/>
      <c r="BI51" s="158"/>
      <c r="BJ51" s="158"/>
    </row>
    <row r="52" spans="1:62" s="126" customFormat="1" ht="91.5" hidden="1" customHeight="1" outlineLevel="1" x14ac:dyDescent="0.2">
      <c r="A52" s="357"/>
      <c r="B52" s="147"/>
      <c r="C52" s="147"/>
      <c r="D52" s="147"/>
      <c r="E52" s="147"/>
      <c r="F52" s="147"/>
      <c r="G52" s="179"/>
      <c r="H52" s="168"/>
      <c r="I52" s="168"/>
      <c r="J52" s="147"/>
      <c r="K52" s="108"/>
      <c r="L52" s="108"/>
      <c r="M52" s="108"/>
      <c r="N52" s="108"/>
      <c r="O52" s="172">
        <f t="shared" si="47"/>
        <v>0</v>
      </c>
      <c r="P52" s="108"/>
      <c r="Q52" s="108"/>
      <c r="R52" s="108"/>
      <c r="S52" s="108"/>
      <c r="T52" s="108"/>
      <c r="U52" s="108"/>
      <c r="V52" s="108"/>
      <c r="W52" s="146">
        <f t="shared" si="48"/>
        <v>0</v>
      </c>
      <c r="X52" s="189">
        <f t="shared" si="49"/>
        <v>0</v>
      </c>
      <c r="Y52" s="175"/>
      <c r="Z52" s="175"/>
      <c r="AA52" s="175"/>
      <c r="AB52" s="62"/>
      <c r="AC52" s="63"/>
      <c r="AD52" s="63"/>
      <c r="AE52" s="63"/>
      <c r="AF52" s="63"/>
      <c r="AG52" s="63"/>
      <c r="AH52" s="63"/>
      <c r="AI52" s="63"/>
      <c r="AJ52" s="63"/>
      <c r="AK52" s="63"/>
      <c r="AL52" s="63"/>
      <c r="AM52" s="62"/>
      <c r="AN52" s="64"/>
      <c r="AO52" s="64"/>
      <c r="AP52" s="64"/>
      <c r="AQ52" s="64"/>
      <c r="AR52" s="64"/>
      <c r="AS52" s="64"/>
      <c r="AT52" s="64"/>
      <c r="AU52" s="64"/>
      <c r="AV52" s="64"/>
      <c r="AW52" s="64"/>
      <c r="AX52" s="65"/>
      <c r="AY52" s="65"/>
      <c r="AZ52" s="65"/>
      <c r="BA52" s="65"/>
      <c r="BB52" s="65"/>
      <c r="BC52" s="65"/>
      <c r="BD52" s="65"/>
      <c r="BE52" s="65"/>
      <c r="BF52" s="65"/>
      <c r="BG52" s="65"/>
      <c r="BH52" s="65"/>
      <c r="BI52" s="158"/>
      <c r="BJ52" s="158"/>
    </row>
    <row r="53" spans="1:62" s="126" customFormat="1" ht="64" outlineLevel="1" x14ac:dyDescent="0.2">
      <c r="A53" s="357">
        <v>9</v>
      </c>
      <c r="B53" s="147" t="s">
        <v>167</v>
      </c>
      <c r="C53" s="147" t="s">
        <v>517</v>
      </c>
      <c r="D53" s="147" t="s">
        <v>208</v>
      </c>
      <c r="E53" s="147" t="s">
        <v>236</v>
      </c>
      <c r="F53" s="147">
        <v>4</v>
      </c>
      <c r="G53" s="179" t="s">
        <v>237</v>
      </c>
      <c r="H53" s="168" t="s">
        <v>199</v>
      </c>
      <c r="I53" s="168" t="s">
        <v>200</v>
      </c>
      <c r="J53" s="147"/>
      <c r="K53" s="108">
        <v>2500</v>
      </c>
      <c r="L53" s="108">
        <v>5000</v>
      </c>
      <c r="M53" s="108">
        <v>10000</v>
      </c>
      <c r="N53" s="108">
        <v>20000</v>
      </c>
      <c r="O53" s="172">
        <f t="shared" si="47"/>
        <v>35000</v>
      </c>
      <c r="P53" s="108">
        <v>20000</v>
      </c>
      <c r="Q53" s="108"/>
      <c r="R53" s="108"/>
      <c r="S53" s="108"/>
      <c r="T53" s="108"/>
      <c r="U53" s="108"/>
      <c r="V53" s="108"/>
      <c r="W53" s="146">
        <f t="shared" si="48"/>
        <v>55000</v>
      </c>
      <c r="X53" s="189">
        <f t="shared" si="49"/>
        <v>57500</v>
      </c>
      <c r="Y53" s="147"/>
      <c r="Z53" s="175" t="s">
        <v>202</v>
      </c>
      <c r="AA53" s="175" t="s">
        <v>231</v>
      </c>
      <c r="AB53" s="62"/>
      <c r="AC53" s="63"/>
      <c r="AD53" s="63"/>
      <c r="AE53" s="63"/>
      <c r="AF53" s="63"/>
      <c r="AG53" s="180" t="e">
        <f>'[1]ny luftbro och hissar F '!L8</f>
        <v>#REF!</v>
      </c>
      <c r="AH53" s="180" t="e">
        <f>'[1]ny luftbro och hissar F '!M8</f>
        <v>#REF!</v>
      </c>
      <c r="AI53" s="180" t="e">
        <f>'[1]ny luftbro och hissar F '!N8</f>
        <v>#REF!</v>
      </c>
      <c r="AJ53" s="180" t="e">
        <f>'[1]ny luftbro och hissar F '!O8</f>
        <v>#REF!</v>
      </c>
      <c r="AK53" s="180" t="e">
        <f>'[1]ny luftbro och hissar F '!P8</f>
        <v>#REF!</v>
      </c>
      <c r="AL53" s="180" t="e">
        <f>'[1]ny luftbro och hissar F '!Q8</f>
        <v>#REF!</v>
      </c>
      <c r="AM53" s="62"/>
      <c r="AN53" s="64"/>
      <c r="AO53" s="64"/>
      <c r="AP53" s="64"/>
      <c r="AQ53" s="64"/>
      <c r="AR53" s="190" t="e">
        <f>-'[1]ny luftbro och hissar F '!L22</f>
        <v>#REF!</v>
      </c>
      <c r="AS53" s="190" t="e">
        <f>-'[1]ny luftbro och hissar F '!M22</f>
        <v>#REF!</v>
      </c>
      <c r="AT53" s="190" t="e">
        <f>-'[1]ny luftbro och hissar F '!N22</f>
        <v>#REF!</v>
      </c>
      <c r="AU53" s="190" t="e">
        <f>-'[1]ny luftbro och hissar F '!O22</f>
        <v>#REF!</v>
      </c>
      <c r="AV53" s="190" t="e">
        <f>-'[1]ny luftbro och hissar F '!P22</f>
        <v>#REF!</v>
      </c>
      <c r="AW53" s="190" t="e">
        <f>-'[1]ny luftbro och hissar F '!Q22</f>
        <v>#REF!</v>
      </c>
      <c r="AX53" s="65"/>
      <c r="AY53" s="65"/>
      <c r="AZ53" s="65"/>
      <c r="BA53" s="65"/>
      <c r="BB53" s="65"/>
      <c r="BC53" s="65"/>
      <c r="BD53" s="65"/>
      <c r="BE53" s="65"/>
      <c r="BF53" s="65"/>
      <c r="BG53" s="65"/>
      <c r="BH53" s="65"/>
      <c r="BI53" s="158"/>
      <c r="BJ53" s="158"/>
    </row>
    <row r="54" spans="1:62" s="126" customFormat="1" ht="32" outlineLevel="1" x14ac:dyDescent="0.2">
      <c r="A54" s="357">
        <v>12</v>
      </c>
      <c r="B54" s="147" t="s">
        <v>167</v>
      </c>
      <c r="C54" s="147" t="s">
        <v>241</v>
      </c>
      <c r="D54" s="147" t="s">
        <v>208</v>
      </c>
      <c r="E54" s="147"/>
      <c r="F54" s="147">
        <v>4</v>
      </c>
      <c r="G54" s="179" t="s">
        <v>237</v>
      </c>
      <c r="H54" s="168" t="s">
        <v>199</v>
      </c>
      <c r="I54" s="168" t="s">
        <v>200</v>
      </c>
      <c r="J54" s="147"/>
      <c r="K54" s="108"/>
      <c r="L54" s="108"/>
      <c r="M54" s="108">
        <v>5000</v>
      </c>
      <c r="N54" s="108">
        <v>20000</v>
      </c>
      <c r="O54" s="172">
        <f t="shared" si="47"/>
        <v>25000</v>
      </c>
      <c r="P54" s="108">
        <v>25000</v>
      </c>
      <c r="Q54" s="108"/>
      <c r="R54" s="108"/>
      <c r="S54" s="108"/>
      <c r="T54" s="108"/>
      <c r="U54" s="108"/>
      <c r="V54" s="108"/>
      <c r="W54" s="146">
        <f t="shared" si="48"/>
        <v>50000</v>
      </c>
      <c r="X54" s="189">
        <f t="shared" si="49"/>
        <v>50000</v>
      </c>
      <c r="Y54" s="147"/>
      <c r="Z54" s="175" t="s">
        <v>202</v>
      </c>
      <c r="AA54" s="175" t="s">
        <v>231</v>
      </c>
      <c r="AB54" s="62"/>
      <c r="AC54" s="63"/>
      <c r="AD54" s="63"/>
      <c r="AE54" s="63"/>
      <c r="AF54" s="63"/>
      <c r="AG54" s="185" t="e">
        <f>'[1]oförutsett KB'!L8</f>
        <v>#REF!</v>
      </c>
      <c r="AH54" s="185" t="e">
        <f>'[1]oförutsett KB'!M8</f>
        <v>#REF!</v>
      </c>
      <c r="AI54" s="185" t="e">
        <f>'[1]oförutsett KB'!N8</f>
        <v>#REF!</v>
      </c>
      <c r="AJ54" s="185" t="e">
        <f>'[1]oförutsett KB'!O8</f>
        <v>#REF!</v>
      </c>
      <c r="AK54" s="185" t="e">
        <f>'[1]oförutsett KB'!P8</f>
        <v>#REF!</v>
      </c>
      <c r="AL54" s="185" t="e">
        <f>'[1]oförutsett KB'!Q8</f>
        <v>#REF!</v>
      </c>
      <c r="AM54" s="62"/>
      <c r="AN54" s="64"/>
      <c r="AO54" s="64"/>
      <c r="AP54" s="64"/>
      <c r="AQ54" s="64"/>
      <c r="AR54" s="185" t="e">
        <f>-'[1]oförutsett KB'!L22</f>
        <v>#REF!</v>
      </c>
      <c r="AS54" s="185" t="e">
        <f>-'[1]oförutsett KB'!M22</f>
        <v>#REF!</v>
      </c>
      <c r="AT54" s="185" t="e">
        <f>-'[1]oförutsett KB'!N22</f>
        <v>#REF!</v>
      </c>
      <c r="AU54" s="185" t="e">
        <f>-'[1]oförutsett KB'!O22</f>
        <v>#REF!</v>
      </c>
      <c r="AV54" s="185" t="e">
        <f>-'[1]oförutsett KB'!P22</f>
        <v>#REF!</v>
      </c>
      <c r="AW54" s="185" t="e">
        <f>-'[1]oförutsett KB'!Q22</f>
        <v>#REF!</v>
      </c>
      <c r="AX54" s="65"/>
      <c r="AY54" s="65"/>
      <c r="AZ54" s="65"/>
      <c r="BA54" s="65"/>
      <c r="BB54" s="65"/>
      <c r="BC54" s="65"/>
      <c r="BD54" s="65"/>
      <c r="BE54" s="65"/>
      <c r="BF54" s="65"/>
      <c r="BG54" s="65"/>
      <c r="BH54" s="65"/>
      <c r="BI54" s="158"/>
      <c r="BJ54" s="158"/>
    </row>
    <row r="55" spans="1:62" s="126" customFormat="1" ht="47.25" customHeight="1" outlineLevel="1" x14ac:dyDescent="0.2">
      <c r="A55" s="357">
        <v>14</v>
      </c>
      <c r="B55" s="191" t="s">
        <v>167</v>
      </c>
      <c r="C55" s="191" t="s">
        <v>247</v>
      </c>
      <c r="D55" s="177">
        <v>8041611</v>
      </c>
      <c r="E55" s="168" t="s">
        <v>248</v>
      </c>
      <c r="F55" s="168">
        <v>0</v>
      </c>
      <c r="G55" s="169" t="s">
        <v>249</v>
      </c>
      <c r="H55" s="168" t="s">
        <v>199</v>
      </c>
      <c r="I55" s="108" t="s">
        <v>245</v>
      </c>
      <c r="J55" s="108">
        <f>15+180</f>
        <v>195</v>
      </c>
      <c r="K55" s="108">
        <f>42+116+10000-158</f>
        <v>10000</v>
      </c>
      <c r="L55" s="108">
        <v>30000</v>
      </c>
      <c r="M55" s="108">
        <v>10000</v>
      </c>
      <c r="N55" s="108"/>
      <c r="O55" s="172">
        <f t="shared" si="47"/>
        <v>40000</v>
      </c>
      <c r="P55" s="108"/>
      <c r="Q55" s="108"/>
      <c r="R55" s="108"/>
      <c r="S55" s="108"/>
      <c r="T55" s="108"/>
      <c r="U55" s="108"/>
      <c r="V55" s="108"/>
      <c r="W55" s="146">
        <f t="shared" si="48"/>
        <v>40000</v>
      </c>
      <c r="X55" s="189">
        <f t="shared" si="49"/>
        <v>50000</v>
      </c>
      <c r="Y55" s="175" t="s">
        <v>250</v>
      </c>
      <c r="Z55" s="175" t="s">
        <v>202</v>
      </c>
      <c r="AA55" s="175" t="s">
        <v>203</v>
      </c>
      <c r="AB55" s="62"/>
      <c r="AC55" s="63"/>
      <c r="AD55" s="63" t="e">
        <f>[1]Dialysavdelning!L8</f>
        <v>#REF!</v>
      </c>
      <c r="AE55" s="63" t="e">
        <f>[1]Dialysavdelning!M8</f>
        <v>#REF!</v>
      </c>
      <c r="AF55" s="63" t="e">
        <f>[1]Dialysavdelning!N8</f>
        <v>#REF!</v>
      </c>
      <c r="AG55" s="63" t="e">
        <f>[1]Dialysavdelning!O8</f>
        <v>#REF!</v>
      </c>
      <c r="AH55" s="63" t="e">
        <f>[1]Dialysavdelning!P8</f>
        <v>#REF!</v>
      </c>
      <c r="AI55" s="63" t="e">
        <f>[1]Dialysavdelning!Q8</f>
        <v>#REF!</v>
      </c>
      <c r="AJ55" s="63" t="e">
        <f>[1]Dialysavdelning!R8</f>
        <v>#REF!</v>
      </c>
      <c r="AK55" s="63" t="e">
        <f>[1]Dialysavdelning!S8</f>
        <v>#REF!</v>
      </c>
      <c r="AL55" s="63" t="e">
        <f>[1]Dialysavdelning!T8</f>
        <v>#REF!</v>
      </c>
      <c r="AM55" s="62"/>
      <c r="AN55" s="64"/>
      <c r="AO55" s="64" t="e">
        <f>-[1]Dialysavdelning!L22</f>
        <v>#REF!</v>
      </c>
      <c r="AP55" s="64" t="e">
        <f>-[1]Dialysavdelning!M22</f>
        <v>#REF!</v>
      </c>
      <c r="AQ55" s="64" t="e">
        <f>-[1]Dialysavdelning!N22</f>
        <v>#REF!</v>
      </c>
      <c r="AR55" s="64" t="e">
        <f>-[1]Dialysavdelning!O22</f>
        <v>#REF!</v>
      </c>
      <c r="AS55" s="64" t="e">
        <f>-[1]Dialysavdelning!P22</f>
        <v>#REF!</v>
      </c>
      <c r="AT55" s="64" t="e">
        <f>-[1]Dialysavdelning!Q22</f>
        <v>#REF!</v>
      </c>
      <c r="AU55" s="64" t="e">
        <f>-[1]Dialysavdelning!R22</f>
        <v>#REF!</v>
      </c>
      <c r="AV55" s="64" t="e">
        <f>-[1]Dialysavdelning!S22</f>
        <v>#REF!</v>
      </c>
      <c r="AW55" s="64" t="e">
        <f>-[1]Dialysavdelning!T22</f>
        <v>#REF!</v>
      </c>
      <c r="AX55" s="65"/>
      <c r="AY55" s="65"/>
      <c r="AZ55" s="65"/>
      <c r="BA55" s="65"/>
      <c r="BB55" s="65"/>
      <c r="BC55" s="65"/>
      <c r="BD55" s="65"/>
      <c r="BE55" s="65"/>
      <c r="BF55" s="65"/>
      <c r="BG55" s="65"/>
      <c r="BH55" s="65"/>
      <c r="BI55" s="158"/>
      <c r="BJ55" s="158"/>
    </row>
    <row r="56" spans="1:62" s="102" customFormat="1" ht="48" outlineLevel="1" x14ac:dyDescent="0.2">
      <c r="A56" s="357">
        <v>19</v>
      </c>
      <c r="B56" s="168" t="s">
        <v>167</v>
      </c>
      <c r="C56" s="168" t="s">
        <v>266</v>
      </c>
      <c r="D56" s="177">
        <v>8040748</v>
      </c>
      <c r="E56" s="168" t="s">
        <v>267</v>
      </c>
      <c r="F56" s="168">
        <v>0</v>
      </c>
      <c r="G56" s="169" t="s">
        <v>268</v>
      </c>
      <c r="H56" s="168" t="s">
        <v>199</v>
      </c>
      <c r="I56" s="168" t="s">
        <v>269</v>
      </c>
      <c r="J56" s="147">
        <v>158000</v>
      </c>
      <c r="K56" s="108">
        <f>13100+5000-100</f>
        <v>18000</v>
      </c>
      <c r="L56" s="108">
        <v>12000</v>
      </c>
      <c r="M56" s="108">
        <v>30000</v>
      </c>
      <c r="N56" s="108">
        <v>30000</v>
      </c>
      <c r="O56" s="172">
        <f t="shared" si="47"/>
        <v>72000</v>
      </c>
      <c r="P56" s="108">
        <v>30000</v>
      </c>
      <c r="Q56" s="108">
        <v>38000</v>
      </c>
      <c r="R56" s="60"/>
      <c r="S56" s="60"/>
      <c r="T56" s="60"/>
      <c r="U56" s="60"/>
      <c r="V56" s="60"/>
      <c r="W56" s="146">
        <f t="shared" si="48"/>
        <v>140000</v>
      </c>
      <c r="X56" s="174">
        <f t="shared" si="49"/>
        <v>158000</v>
      </c>
      <c r="Y56" s="175" t="s">
        <v>270</v>
      </c>
      <c r="Z56" s="175" t="s">
        <v>271</v>
      </c>
      <c r="AA56" s="175" t="s">
        <v>272</v>
      </c>
      <c r="AB56" s="62"/>
      <c r="AC56" s="99"/>
      <c r="AD56" s="63" t="e">
        <f>'[1]etapp 1 smågodstransportör'!L8</f>
        <v>#REF!</v>
      </c>
      <c r="AE56" s="63" t="e">
        <f>'[1]etapp 1 smågodstransportör'!M8</f>
        <v>#REF!</v>
      </c>
      <c r="AF56" s="63" t="e">
        <f>'[1]etapp 1 smågodstransportör'!N8+'[1]etapp 2 smågodstransportör '!L8</f>
        <v>#REF!</v>
      </c>
      <c r="AG56" s="63" t="e">
        <f>'[1]etapp 1 smågodstransportör'!O8+'[1]etapp 2 smågodstransportör '!M8</f>
        <v>#REF!</v>
      </c>
      <c r="AH56" s="63" t="e">
        <f>'[1]etapp 1 smågodstransportör'!P8+'[1]etapp 2 smågodstransportör '!N8+'[1]etapp 3 smågodstransportör  '!L8</f>
        <v>#REF!</v>
      </c>
      <c r="AI56" s="63" t="e">
        <f>'[1]etapp 1 smågodstransportör'!Q8+'[1]etapp 2 smågodstransportör '!O8+'[1]etapp 3 smågodstransportör  '!M8</f>
        <v>#REF!</v>
      </c>
      <c r="AJ56" s="63" t="e">
        <f>'[1]etapp 1 smågodstransportör'!R8+'[1]etapp 2 smågodstransportör '!P8+'[1]etapp 3 smågodstransportör  '!N8</f>
        <v>#REF!</v>
      </c>
      <c r="AK56" s="63" t="e">
        <f>'[1]etapp 1 smågodstransportör'!S8+'[1]etapp 2 smågodstransportör '!Q8+'[1]etapp 3 smågodstransportör  '!O8</f>
        <v>#REF!</v>
      </c>
      <c r="AL56" s="63" t="e">
        <f>'[1]etapp 1 smågodstransportör'!T8+'[1]etapp 2 smågodstransportör '!R8+'[1]etapp 3 smågodstransportör  '!P8</f>
        <v>#REF!</v>
      </c>
      <c r="AM56" s="62"/>
      <c r="AN56" s="64"/>
      <c r="AO56" s="64" t="e">
        <f>-'[1]etapp 1 smågodstransportör'!L22</f>
        <v>#REF!</v>
      </c>
      <c r="AP56" s="64" t="e">
        <f>-'[1]etapp 1 smågodstransportör'!M22</f>
        <v>#REF!</v>
      </c>
      <c r="AQ56" s="64" t="e">
        <f>-'[1]etapp 1 smågodstransportör'!N22-'[1]etapp 2 smågodstransportör '!L22</f>
        <v>#REF!</v>
      </c>
      <c r="AR56" s="64" t="e">
        <f>-'[1]etapp 1 smågodstransportör'!O22-'[1]etapp 2 smågodstransportör '!M22</f>
        <v>#REF!</v>
      </c>
      <c r="AS56" s="64" t="e">
        <f>-'[1]etapp 1 smågodstransportör'!P22-'[1]etapp 2 smågodstransportör '!N22-'[1]etapp 3 smågodstransportör  '!L22</f>
        <v>#REF!</v>
      </c>
      <c r="AT56" s="64" t="e">
        <f>-'[1]etapp 1 smågodstransportör'!Q22-'[1]etapp 2 smågodstransportör '!O22-'[1]etapp 3 smågodstransportör  '!M22</f>
        <v>#REF!</v>
      </c>
      <c r="AU56" s="64" t="e">
        <f>-'[1]etapp 1 smågodstransportör'!R22-'[1]etapp 2 smågodstransportör '!P22-'[1]etapp 3 smågodstransportör  '!N22</f>
        <v>#REF!</v>
      </c>
      <c r="AV56" s="64" t="e">
        <f>-'[1]etapp 1 smågodstransportör'!S22-'[1]etapp 2 smågodstransportör '!Q22-'[1]etapp 3 smågodstransportör  '!O22</f>
        <v>#REF!</v>
      </c>
      <c r="AW56" s="64" t="e">
        <f>-'[1]etapp 1 smågodstransportör'!T22-'[1]etapp 2 smågodstransportör '!R22-'[1]etapp 3 smågodstransportör  '!P22</f>
        <v>#REF!</v>
      </c>
      <c r="AX56" s="65"/>
      <c r="AY56" s="65"/>
      <c r="AZ56" s="65"/>
      <c r="BA56" s="65"/>
      <c r="BB56" s="65"/>
      <c r="BC56" s="65"/>
      <c r="BD56" s="65"/>
      <c r="BE56" s="65"/>
      <c r="BF56" s="65"/>
      <c r="BG56" s="65"/>
      <c r="BH56" s="65"/>
      <c r="BI56" s="4"/>
      <c r="BJ56" s="4"/>
    </row>
    <row r="57" spans="1:62" s="102" customFormat="1" ht="35.25" customHeight="1" outlineLevel="1" x14ac:dyDescent="0.2">
      <c r="A57" s="357">
        <v>20</v>
      </c>
      <c r="B57" s="147" t="s">
        <v>167</v>
      </c>
      <c r="C57" s="147" t="s">
        <v>273</v>
      </c>
      <c r="D57" s="194">
        <v>8040990</v>
      </c>
      <c r="E57" s="147" t="s">
        <v>274</v>
      </c>
      <c r="F57" s="147">
        <v>0</v>
      </c>
      <c r="G57" s="179" t="s">
        <v>275</v>
      </c>
      <c r="H57" s="168" t="s">
        <v>199</v>
      </c>
      <c r="I57" s="168" t="s">
        <v>276</v>
      </c>
      <c r="J57" s="147">
        <v>1845</v>
      </c>
      <c r="K57" s="108">
        <f>20000/2*50%</f>
        <v>5000</v>
      </c>
      <c r="L57" s="108"/>
      <c r="M57" s="108">
        <f>10000*50%</f>
        <v>5000</v>
      </c>
      <c r="N57" s="108"/>
      <c r="O57" s="172">
        <f t="shared" si="47"/>
        <v>5000</v>
      </c>
      <c r="P57" s="60"/>
      <c r="Q57" s="60"/>
      <c r="R57" s="60"/>
      <c r="S57" s="60"/>
      <c r="T57" s="60"/>
      <c r="U57" s="60"/>
      <c r="V57" s="60"/>
      <c r="W57" s="146">
        <f t="shared" si="48"/>
        <v>5000</v>
      </c>
      <c r="X57" s="174">
        <f t="shared" si="49"/>
        <v>10000</v>
      </c>
      <c r="Y57" s="97"/>
      <c r="Z57" s="60" t="s">
        <v>225</v>
      </c>
      <c r="AA57" s="175" t="s">
        <v>226</v>
      </c>
      <c r="AB57" s="62"/>
      <c r="AC57" s="63" t="e">
        <f>'[1]förrådshissar B11, J'!L8*50%</f>
        <v>#REF!</v>
      </c>
      <c r="AD57" s="63" t="e">
        <f>'[1]förrådshissar B11, J'!M8*50%</f>
        <v>#REF!</v>
      </c>
      <c r="AE57" s="63" t="e">
        <f>'[1]förrådshissar B11, J'!N8*50%+'[1]förrådshissar B11, J'!L8*50%</f>
        <v>#REF!</v>
      </c>
      <c r="AF57" s="63" t="e">
        <f>'[1]förrådshissar B11, J'!O8*50%+'[1]förrådshissar B11, J'!M8*50%</f>
        <v>#REF!</v>
      </c>
      <c r="AG57" s="63" t="e">
        <f>'[1]förrådshissar B11, J'!P8*50%+'[1]förrådshissar B11, J'!N8*50%</f>
        <v>#REF!</v>
      </c>
      <c r="AH57" s="63" t="e">
        <f>'[1]förrådshissar B11, J'!Q8*50%+'[1]förrådshissar B11, J'!O8*50%</f>
        <v>#REF!</v>
      </c>
      <c r="AI57" s="63" t="e">
        <f>'[1]förrådshissar B11, J'!R8*50%+'[1]förrådshissar B11, J'!P8*50%</f>
        <v>#REF!</v>
      </c>
      <c r="AJ57" s="63" t="e">
        <f>'[1]förrådshissar B11, J'!S8*50%+'[1]förrådshissar B11, J'!Q8*50%</f>
        <v>#REF!</v>
      </c>
      <c r="AK57" s="63" t="e">
        <f>'[1]förrådshissar B11, J'!T8*50%+'[1]förrådshissar B11, J'!R8*50%</f>
        <v>#REF!</v>
      </c>
      <c r="AL57" s="63" t="e">
        <f>'[1]förrådshissar B11, J'!U8*50%+'[1]förrådshissar B11, J'!S8*50%</f>
        <v>#REF!</v>
      </c>
      <c r="AM57" s="62"/>
      <c r="AN57" s="64" t="e">
        <f>-'[1]förrådshissar B11, J'!L22*50%</f>
        <v>#REF!</v>
      </c>
      <c r="AO57" s="64" t="e">
        <f>-'[1]förrådshissar B11, J'!M22*50%</f>
        <v>#REF!</v>
      </c>
      <c r="AP57" s="64" t="e">
        <f>-'[1]förrådshissar B11, J'!N22*50%-'[1]förrådshissar B11, J'!L22*50%</f>
        <v>#REF!</v>
      </c>
      <c r="AQ57" s="64" t="e">
        <f>-'[1]förrådshissar B11, J'!O22*50%-'[1]förrådshissar B11, J'!M22*50%</f>
        <v>#REF!</v>
      </c>
      <c r="AR57" s="64" t="e">
        <f>-'[1]förrådshissar B11, J'!P22*50%-'[1]förrådshissar B11, J'!N22*50%</f>
        <v>#REF!</v>
      </c>
      <c r="AS57" s="64" t="e">
        <f>-'[1]förrådshissar B11, J'!Q22*50%-'[1]förrådshissar B11, J'!O22*50%</f>
        <v>#REF!</v>
      </c>
      <c r="AT57" s="64" t="e">
        <f>-'[1]förrådshissar B11, J'!R22*50%-'[1]förrådshissar B11, J'!P22*50%</f>
        <v>#REF!</v>
      </c>
      <c r="AU57" s="64" t="e">
        <f>-'[1]förrådshissar B11, J'!S22*50%-'[1]förrådshissar B11, J'!Q22*50%</f>
        <v>#REF!</v>
      </c>
      <c r="AV57" s="64" t="e">
        <f>-'[1]förrådshissar B11, J'!T22*50%-'[1]förrådshissar B11, J'!R22*50%</f>
        <v>#REF!</v>
      </c>
      <c r="AW57" s="64" t="e">
        <f>-'[1]förrådshissar B11, J'!U22*50%-'[1]förrådshissar B11, J'!S22*50%</f>
        <v>#REF!</v>
      </c>
      <c r="AX57" s="65"/>
      <c r="AY57" s="65"/>
      <c r="AZ57" s="65"/>
      <c r="BA57" s="65"/>
      <c r="BB57" s="65"/>
      <c r="BC57" s="65"/>
      <c r="BD57" s="65"/>
      <c r="BE57" s="65"/>
      <c r="BF57" s="65"/>
      <c r="BG57" s="65"/>
      <c r="BH57" s="65"/>
      <c r="BI57" s="4"/>
      <c r="BJ57" s="4"/>
    </row>
    <row r="58" spans="1:62" s="102" customFormat="1" ht="38.25" customHeight="1" outlineLevel="1" x14ac:dyDescent="0.2">
      <c r="A58" s="357">
        <v>21</v>
      </c>
      <c r="B58" s="147" t="s">
        <v>167</v>
      </c>
      <c r="C58" s="147" t="s">
        <v>277</v>
      </c>
      <c r="D58" s="194">
        <v>8040990</v>
      </c>
      <c r="E58" s="147" t="s">
        <v>278</v>
      </c>
      <c r="F58" s="147">
        <v>0</v>
      </c>
      <c r="G58" s="179" t="s">
        <v>279</v>
      </c>
      <c r="H58" s="168" t="s">
        <v>199</v>
      </c>
      <c r="I58" s="168" t="s">
        <v>276</v>
      </c>
      <c r="J58" s="147"/>
      <c r="K58" s="108">
        <v>5000</v>
      </c>
      <c r="L58" s="108"/>
      <c r="M58" s="108">
        <v>5000</v>
      </c>
      <c r="N58" s="108"/>
      <c r="O58" s="172">
        <f t="shared" si="47"/>
        <v>5000</v>
      </c>
      <c r="P58" s="60"/>
      <c r="Q58" s="60"/>
      <c r="R58" s="60"/>
      <c r="S58" s="60"/>
      <c r="T58" s="60"/>
      <c r="U58" s="60"/>
      <c r="V58" s="60"/>
      <c r="W58" s="146">
        <f t="shared" si="48"/>
        <v>5000</v>
      </c>
      <c r="X58" s="174">
        <f t="shared" si="49"/>
        <v>10000</v>
      </c>
      <c r="Y58" s="97"/>
      <c r="Z58" s="60" t="s">
        <v>225</v>
      </c>
      <c r="AA58" s="175" t="s">
        <v>226</v>
      </c>
      <c r="AB58" s="62"/>
      <c r="AC58" s="63" t="e">
        <f t="shared" ref="AC58:AL58" si="50">AC57</f>
        <v>#REF!</v>
      </c>
      <c r="AD58" s="63" t="e">
        <f t="shared" si="50"/>
        <v>#REF!</v>
      </c>
      <c r="AE58" s="63" t="e">
        <f t="shared" si="50"/>
        <v>#REF!</v>
      </c>
      <c r="AF58" s="63" t="e">
        <f t="shared" si="50"/>
        <v>#REF!</v>
      </c>
      <c r="AG58" s="63" t="e">
        <f t="shared" si="50"/>
        <v>#REF!</v>
      </c>
      <c r="AH58" s="63" t="e">
        <f t="shared" si="50"/>
        <v>#REF!</v>
      </c>
      <c r="AI58" s="63" t="e">
        <f t="shared" si="50"/>
        <v>#REF!</v>
      </c>
      <c r="AJ58" s="63" t="e">
        <f t="shared" si="50"/>
        <v>#REF!</v>
      </c>
      <c r="AK58" s="63" t="e">
        <f t="shared" si="50"/>
        <v>#REF!</v>
      </c>
      <c r="AL58" s="63" t="e">
        <f t="shared" si="50"/>
        <v>#REF!</v>
      </c>
      <c r="AM58" s="62"/>
      <c r="AN58" s="64" t="e">
        <f t="shared" ref="AN58:AW58" si="51">AN57</f>
        <v>#REF!</v>
      </c>
      <c r="AO58" s="64" t="e">
        <f t="shared" si="51"/>
        <v>#REF!</v>
      </c>
      <c r="AP58" s="64" t="e">
        <f t="shared" si="51"/>
        <v>#REF!</v>
      </c>
      <c r="AQ58" s="64" t="e">
        <f t="shared" si="51"/>
        <v>#REF!</v>
      </c>
      <c r="AR58" s="64" t="e">
        <f t="shared" si="51"/>
        <v>#REF!</v>
      </c>
      <c r="AS58" s="64" t="e">
        <f t="shared" si="51"/>
        <v>#REF!</v>
      </c>
      <c r="AT58" s="64" t="e">
        <f t="shared" si="51"/>
        <v>#REF!</v>
      </c>
      <c r="AU58" s="64" t="e">
        <f t="shared" si="51"/>
        <v>#REF!</v>
      </c>
      <c r="AV58" s="64" t="e">
        <f t="shared" si="51"/>
        <v>#REF!</v>
      </c>
      <c r="AW58" s="64" t="e">
        <f t="shared" si="51"/>
        <v>#REF!</v>
      </c>
      <c r="AX58" s="65"/>
      <c r="AY58" s="65"/>
      <c r="AZ58" s="65"/>
      <c r="BA58" s="65"/>
      <c r="BB58" s="65"/>
      <c r="BC58" s="65"/>
      <c r="BD58" s="65"/>
      <c r="BE58" s="65"/>
      <c r="BF58" s="65"/>
      <c r="BG58" s="65"/>
      <c r="BH58" s="65"/>
      <c r="BI58" s="4"/>
      <c r="BJ58" s="4"/>
    </row>
    <row r="59" spans="1:62" s="126" customFormat="1" ht="44.25" customHeight="1" outlineLevel="1" x14ac:dyDescent="0.2">
      <c r="A59" s="357">
        <v>23</v>
      </c>
      <c r="B59" s="147" t="s">
        <v>167</v>
      </c>
      <c r="C59" s="147" t="s">
        <v>282</v>
      </c>
      <c r="D59" s="147"/>
      <c r="E59" s="147" t="s">
        <v>283</v>
      </c>
      <c r="F59" s="147">
        <v>0</v>
      </c>
      <c r="G59" s="179" t="s">
        <v>284</v>
      </c>
      <c r="H59" s="168" t="s">
        <v>199</v>
      </c>
      <c r="I59" s="168" t="s">
        <v>276</v>
      </c>
      <c r="J59" s="147"/>
      <c r="K59" s="108">
        <f>39693+4839+11300+6053+2500</f>
        <v>64385</v>
      </c>
      <c r="L59" s="108">
        <f>101200+22725</f>
        <v>123925</v>
      </c>
      <c r="M59" s="108"/>
      <c r="N59" s="108"/>
      <c r="O59" s="172">
        <f t="shared" si="47"/>
        <v>123925</v>
      </c>
      <c r="P59" s="108"/>
      <c r="Q59" s="60"/>
      <c r="R59" s="60"/>
      <c r="S59" s="60"/>
      <c r="T59" s="60"/>
      <c r="U59" s="60"/>
      <c r="V59" s="60"/>
      <c r="W59" s="146">
        <f t="shared" si="48"/>
        <v>123925</v>
      </c>
      <c r="X59" s="174">
        <f t="shared" si="49"/>
        <v>188310</v>
      </c>
      <c r="Y59" s="175" t="s">
        <v>285</v>
      </c>
      <c r="Z59" s="175" t="s">
        <v>202</v>
      </c>
      <c r="AA59" s="175" t="s">
        <v>286</v>
      </c>
      <c r="AB59" s="62"/>
      <c r="AC59" s="63"/>
      <c r="AD59" s="63" t="e">
        <f>'[1]anpass B9 ing 100'!L8</f>
        <v>#REF!</v>
      </c>
      <c r="AE59" s="63" t="e">
        <f>'[1]anpass B9 ing 100'!M8</f>
        <v>#REF!</v>
      </c>
      <c r="AF59" s="63" t="e">
        <f>'[1]anpass B9 ing 100'!N8</f>
        <v>#REF!</v>
      </c>
      <c r="AG59" s="63" t="e">
        <f>'[1]anpass B9 ing 100'!O8</f>
        <v>#REF!</v>
      </c>
      <c r="AH59" s="63" t="e">
        <f>'[1]anpass B9 ing 100'!P8</f>
        <v>#REF!</v>
      </c>
      <c r="AI59" s="63" t="e">
        <f>'[1]anpass B9 ing 100'!Q8</f>
        <v>#REF!</v>
      </c>
      <c r="AJ59" s="63" t="e">
        <f>'[1]anpass B9 ing 100'!R8</f>
        <v>#REF!</v>
      </c>
      <c r="AK59" s="63" t="e">
        <f>'[1]anpass B9 ing 100'!S8</f>
        <v>#REF!</v>
      </c>
      <c r="AL59" s="63" t="e">
        <f>'[1]anpass B9 ing 100'!T8</f>
        <v>#REF!</v>
      </c>
      <c r="AM59" s="62"/>
      <c r="AN59" s="64"/>
      <c r="AO59" s="64" t="e">
        <f>-'[1]anpass B9 ing 100'!L22</f>
        <v>#REF!</v>
      </c>
      <c r="AP59" s="64" t="e">
        <f>-'[1]anpass B9 ing 100'!M22</f>
        <v>#REF!</v>
      </c>
      <c r="AQ59" s="64" t="e">
        <f>-'[1]anpass B9 ing 100'!N22</f>
        <v>#REF!</v>
      </c>
      <c r="AR59" s="64" t="e">
        <f>-'[1]anpass B9 ing 100'!O22</f>
        <v>#REF!</v>
      </c>
      <c r="AS59" s="64" t="e">
        <f>-'[1]anpass B9 ing 100'!P22</f>
        <v>#REF!</v>
      </c>
      <c r="AT59" s="64" t="e">
        <f>-'[1]anpass B9 ing 100'!Q22</f>
        <v>#REF!</v>
      </c>
      <c r="AU59" s="64" t="e">
        <f>-'[1]anpass B9 ing 100'!R22</f>
        <v>#REF!</v>
      </c>
      <c r="AV59" s="64" t="e">
        <f>-'[1]anpass B9 ing 100'!S22</f>
        <v>#REF!</v>
      </c>
      <c r="AW59" s="64" t="e">
        <f>-'[1]anpass B9 ing 100'!T22</f>
        <v>#REF!</v>
      </c>
      <c r="AX59" s="65"/>
      <c r="AY59" s="65"/>
      <c r="AZ59" s="65"/>
      <c r="BA59" s="65"/>
      <c r="BB59" s="65"/>
      <c r="BC59" s="65"/>
      <c r="BD59" s="65"/>
      <c r="BE59" s="65"/>
      <c r="BF59" s="65"/>
      <c r="BG59" s="65"/>
      <c r="BH59" s="65"/>
      <c r="BI59" s="158"/>
      <c r="BJ59" s="158"/>
    </row>
    <row r="60" spans="1:62" s="126" customFormat="1" ht="49.5" customHeight="1" outlineLevel="1" x14ac:dyDescent="0.2">
      <c r="A60" s="357">
        <v>24</v>
      </c>
      <c r="B60" s="147" t="s">
        <v>167</v>
      </c>
      <c r="C60" s="147" t="s">
        <v>287</v>
      </c>
      <c r="D60" s="147"/>
      <c r="E60" s="147" t="s">
        <v>288</v>
      </c>
      <c r="F60" s="147">
        <v>1</v>
      </c>
      <c r="G60" s="179" t="s">
        <v>289</v>
      </c>
      <c r="H60" s="168" t="s">
        <v>199</v>
      </c>
      <c r="I60" s="168" t="s">
        <v>276</v>
      </c>
      <c r="J60" s="147" t="e">
        <f>'[1]upparb hyreskost FAS'!G13+'[1]upparb hyreskost FAS'!G24</f>
        <v>#REF!</v>
      </c>
      <c r="K60" s="108" t="e">
        <f>'[1]upparb hyreskost FAS'!G13+'[1]upparb hyreskost FAS'!G24</f>
        <v>#REF!</v>
      </c>
      <c r="L60" s="108">
        <f>3000+5000</f>
        <v>8000</v>
      </c>
      <c r="M60" s="108">
        <v>2000</v>
      </c>
      <c r="N60" s="108"/>
      <c r="O60" s="172">
        <f t="shared" si="47"/>
        <v>10000</v>
      </c>
      <c r="P60" s="108">
        <v>20000</v>
      </c>
      <c r="Q60" s="108">
        <f>38000+100000</f>
        <v>138000</v>
      </c>
      <c r="R60" s="108">
        <v>103722</v>
      </c>
      <c r="S60" s="60"/>
      <c r="T60" s="60"/>
      <c r="U60" s="60"/>
      <c r="V60" s="60"/>
      <c r="W60" s="146">
        <f t="shared" si="48"/>
        <v>271722</v>
      </c>
      <c r="X60" s="174" t="e">
        <f t="shared" si="49"/>
        <v>#REF!</v>
      </c>
      <c r="Y60" s="147" t="s">
        <v>290</v>
      </c>
      <c r="Z60" s="147" t="s">
        <v>202</v>
      </c>
      <c r="AA60" s="175" t="s">
        <v>286</v>
      </c>
      <c r="AB60" s="62"/>
      <c r="AC60" s="63"/>
      <c r="AD60" s="63"/>
      <c r="AE60" s="63"/>
      <c r="AF60" s="63"/>
      <c r="AG60" s="63"/>
      <c r="AH60" s="63" t="e">
        <f>'[1]etapp 1 B9 ombyggnation'!L8</f>
        <v>#REF!</v>
      </c>
      <c r="AI60" s="63" t="e">
        <f>'[1]etapp 1 B9 ombyggnation'!M8</f>
        <v>#REF!</v>
      </c>
      <c r="AJ60" s="63" t="e">
        <f>'[1]etapp 1 B9 ombyggnation'!N8</f>
        <v>#REF!</v>
      </c>
      <c r="AK60" s="63" t="e">
        <f>'[1]etapp 1 B9 ombyggnation'!O8</f>
        <v>#REF!</v>
      </c>
      <c r="AL60" s="63" t="e">
        <f>'[1]etapp 1 B9 ombyggnation'!P8</f>
        <v>#REF!</v>
      </c>
      <c r="AM60" s="62"/>
      <c r="AN60" s="64"/>
      <c r="AO60" s="64"/>
      <c r="AP60" s="64"/>
      <c r="AQ60" s="64"/>
      <c r="AR60" s="64"/>
      <c r="AS60" s="64" t="e">
        <f>-'[1]etapp 1 B9 ombyggnation'!L22</f>
        <v>#REF!</v>
      </c>
      <c r="AT60" s="64" t="e">
        <f>-'[1]etapp 1 B9 ombyggnation'!M22</f>
        <v>#REF!</v>
      </c>
      <c r="AU60" s="64" t="e">
        <f>-'[1]etapp 1 B9 ombyggnation'!N22</f>
        <v>#REF!</v>
      </c>
      <c r="AV60" s="64" t="e">
        <f>-'[1]etapp 1 B9 ombyggnation'!O22</f>
        <v>#REF!</v>
      </c>
      <c r="AW60" s="64" t="e">
        <f>-'[1]etapp 1 B9 ombyggnation'!P22</f>
        <v>#REF!</v>
      </c>
      <c r="AX60" s="65"/>
      <c r="AY60" s="65"/>
      <c r="AZ60" s="65"/>
      <c r="BA60" s="65"/>
      <c r="BB60" s="65"/>
      <c r="BC60" s="65"/>
      <c r="BD60" s="65">
        <v>46942</v>
      </c>
      <c r="BE60" s="65"/>
      <c r="BF60" s="65"/>
      <c r="BG60" s="65"/>
      <c r="BH60" s="65"/>
      <c r="BI60" s="158"/>
      <c r="BJ60" s="158"/>
    </row>
    <row r="61" spans="1:62" s="126" customFormat="1" ht="36" customHeight="1" outlineLevel="1" x14ac:dyDescent="0.2">
      <c r="A61" s="357">
        <v>25</v>
      </c>
      <c r="B61" s="147" t="s">
        <v>167</v>
      </c>
      <c r="C61" s="147" t="s">
        <v>291</v>
      </c>
      <c r="D61" s="147"/>
      <c r="E61" s="147" t="s">
        <v>292</v>
      </c>
      <c r="F61" s="147">
        <v>1</v>
      </c>
      <c r="G61" s="179" t="s">
        <v>293</v>
      </c>
      <c r="H61" s="168" t="s">
        <v>199</v>
      </c>
      <c r="I61" s="168" t="s">
        <v>276</v>
      </c>
      <c r="J61" s="147" t="e">
        <f>'[1]upparb hyreskost FAS'!G14+'[1]upparb hyreskost FAS'!G25</f>
        <v>#REF!</v>
      </c>
      <c r="K61" s="108" t="e">
        <f>'[1]upparb hyreskost FAS'!G14+'[1]upparb hyreskost FAS'!G25+5000</f>
        <v>#REF!</v>
      </c>
      <c r="L61" s="108">
        <f>20000+25000</f>
        <v>45000</v>
      </c>
      <c r="M61" s="108">
        <v>112500</v>
      </c>
      <c r="N61" s="108">
        <v>262500</v>
      </c>
      <c r="O61" s="172">
        <f t="shared" si="47"/>
        <v>420000</v>
      </c>
      <c r="P61" s="108">
        <v>313000</v>
      </c>
      <c r="Q61" s="108">
        <v>79500</v>
      </c>
      <c r="R61" s="108"/>
      <c r="S61" s="60"/>
      <c r="T61" s="60"/>
      <c r="U61" s="60"/>
      <c r="V61" s="60"/>
      <c r="W61" s="146">
        <f t="shared" si="48"/>
        <v>812500</v>
      </c>
      <c r="X61" s="174" t="e">
        <f t="shared" si="49"/>
        <v>#REF!</v>
      </c>
      <c r="Y61" s="147" t="s">
        <v>294</v>
      </c>
      <c r="Z61" s="147" t="s">
        <v>202</v>
      </c>
      <c r="AA61" s="175" t="s">
        <v>286</v>
      </c>
      <c r="AB61" s="62"/>
      <c r="AC61" s="63"/>
      <c r="AD61" s="63"/>
      <c r="AE61" s="63"/>
      <c r="AF61" s="63"/>
      <c r="AG61" s="63" t="e">
        <f>'[1] etapp 1 B12 ombyggnation '!L8/12*6</f>
        <v>#REF!</v>
      </c>
      <c r="AH61" s="63" t="e">
        <f>'[1] etapp 1 B12 ombyggnation '!M8</f>
        <v>#REF!</v>
      </c>
      <c r="AI61" s="63" t="e">
        <f>'[1] etapp 1 B12 ombyggnation '!N8</f>
        <v>#REF!</v>
      </c>
      <c r="AJ61" s="63" t="e">
        <f>'[1] etapp 1 B12 ombyggnation '!O8</f>
        <v>#REF!</v>
      </c>
      <c r="AK61" s="63" t="e">
        <f>'[1] etapp 1 B12 ombyggnation '!P8</f>
        <v>#REF!</v>
      </c>
      <c r="AL61" s="63" t="e">
        <f>'[1] etapp 1 B12 ombyggnation '!Q8</f>
        <v>#REF!</v>
      </c>
      <c r="AM61" s="62"/>
      <c r="AN61" s="64"/>
      <c r="AO61" s="64"/>
      <c r="AP61" s="64"/>
      <c r="AQ61" s="64"/>
      <c r="AR61" s="64" t="e">
        <f>-'[1] etapp 1 B12 ombyggnation '!L22/12*6</f>
        <v>#REF!</v>
      </c>
      <c r="AS61" s="64" t="e">
        <f>-'[1] etapp 1 B12 ombyggnation '!M22</f>
        <v>#REF!</v>
      </c>
      <c r="AT61" s="64" t="e">
        <f>-'[1] etapp 1 B12 ombyggnation '!N22</f>
        <v>#REF!</v>
      </c>
      <c r="AU61" s="64" t="e">
        <f>-'[1] etapp 1 B12 ombyggnation '!O22</f>
        <v>#REF!</v>
      </c>
      <c r="AV61" s="64" t="e">
        <f>-'[1] etapp 1 B12 ombyggnation '!P22</f>
        <v>#REF!</v>
      </c>
      <c r="AW61" s="64" t="e">
        <f>-'[1] etapp 1 B12 ombyggnation '!Q22</f>
        <v>#REF!</v>
      </c>
      <c r="AX61" s="65"/>
      <c r="AY61" s="65"/>
      <c r="AZ61" s="65"/>
      <c r="BA61" s="65"/>
      <c r="BB61" s="65">
        <v>20128</v>
      </c>
      <c r="BC61" s="65"/>
      <c r="BD61" s="65"/>
      <c r="BE61" s="65"/>
      <c r="BF61" s="65"/>
      <c r="BG61" s="65"/>
      <c r="BH61" s="65"/>
      <c r="BI61" s="158"/>
      <c r="BJ61" s="158"/>
    </row>
    <row r="62" spans="1:62" s="126" customFormat="1" ht="34.5" customHeight="1" outlineLevel="1" x14ac:dyDescent="0.2">
      <c r="A62" s="357">
        <v>26</v>
      </c>
      <c r="B62" s="147" t="s">
        <v>167</v>
      </c>
      <c r="C62" s="147" t="s">
        <v>295</v>
      </c>
      <c r="D62" s="147"/>
      <c r="E62" s="147" t="s">
        <v>296</v>
      </c>
      <c r="F62" s="147">
        <v>1</v>
      </c>
      <c r="G62" s="179"/>
      <c r="H62" s="168" t="s">
        <v>199</v>
      </c>
      <c r="I62" s="168" t="s">
        <v>276</v>
      </c>
      <c r="J62" s="147"/>
      <c r="K62" s="108">
        <v>248</v>
      </c>
      <c r="L62" s="108">
        <v>3100</v>
      </c>
      <c r="M62" s="108">
        <v>4300</v>
      </c>
      <c r="N62" s="108">
        <v>15100</v>
      </c>
      <c r="O62" s="172">
        <f t="shared" si="47"/>
        <v>22500</v>
      </c>
      <c r="P62" s="108">
        <v>25800</v>
      </c>
      <c r="Q62" s="108">
        <v>21200</v>
      </c>
      <c r="R62" s="108">
        <v>12252</v>
      </c>
      <c r="S62" s="108"/>
      <c r="T62" s="60"/>
      <c r="U62" s="60"/>
      <c r="V62" s="60"/>
      <c r="W62" s="146">
        <f t="shared" si="48"/>
        <v>81752</v>
      </c>
      <c r="X62" s="174">
        <f t="shared" si="49"/>
        <v>82000</v>
      </c>
      <c r="Y62" s="147"/>
      <c r="Z62" s="147" t="s">
        <v>202</v>
      </c>
      <c r="AA62" s="175" t="s">
        <v>286</v>
      </c>
      <c r="AB62" s="62"/>
      <c r="AC62" s="63"/>
      <c r="AD62" s="63"/>
      <c r="AE62" s="63"/>
      <c r="AF62" s="63"/>
      <c r="AG62" s="63" t="e">
        <f>'[1]index B9,B12 hyra '!L8/12*6</f>
        <v>#REF!</v>
      </c>
      <c r="AH62" s="63" t="e">
        <f>'[1]index B9,B12 hyra '!M8</f>
        <v>#REF!</v>
      </c>
      <c r="AI62" s="63" t="e">
        <f>'[1]index B9,B12 hyra '!N8</f>
        <v>#REF!</v>
      </c>
      <c r="AJ62" s="63" t="e">
        <f>'[1]index B9,B12 hyra '!O8</f>
        <v>#REF!</v>
      </c>
      <c r="AK62" s="63" t="e">
        <f>'[1]index B9,B12 hyra '!P8</f>
        <v>#REF!</v>
      </c>
      <c r="AL62" s="63" t="e">
        <f>'[1]index B9,B12 hyra '!Q8</f>
        <v>#REF!</v>
      </c>
      <c r="AM62" s="62"/>
      <c r="AN62" s="64"/>
      <c r="AO62" s="64"/>
      <c r="AP62" s="64"/>
      <c r="AQ62" s="64"/>
      <c r="AR62" s="64" t="e">
        <f>-'[1]index B9,B12 hyra '!L22/12*6</f>
        <v>#REF!</v>
      </c>
      <c r="AS62" s="64" t="e">
        <f>-'[1]index B9,B12 hyra '!M22</f>
        <v>#REF!</v>
      </c>
      <c r="AT62" s="64" t="e">
        <f>-'[1]index B9,B12 hyra '!N22</f>
        <v>#REF!</v>
      </c>
      <c r="AU62" s="64" t="e">
        <f>-'[1]index B9,B12 hyra '!O22</f>
        <v>#REF!</v>
      </c>
      <c r="AV62" s="64" t="e">
        <f>-'[1]index B9,B12 hyra '!P22</f>
        <v>#REF!</v>
      </c>
      <c r="AW62" s="64" t="e">
        <f>-'[1]index B9,B12 hyra '!Q22</f>
        <v>#REF!</v>
      </c>
      <c r="AX62" s="65"/>
      <c r="AY62" s="65"/>
      <c r="AZ62" s="65"/>
      <c r="BA62" s="65"/>
      <c r="BB62" s="65"/>
      <c r="BC62" s="65"/>
      <c r="BD62" s="65"/>
      <c r="BE62" s="65"/>
      <c r="BF62" s="65"/>
      <c r="BG62" s="65"/>
      <c r="BH62" s="65"/>
      <c r="BI62" s="158"/>
      <c r="BJ62" s="158"/>
    </row>
    <row r="63" spans="1:62" s="196" customFormat="1" ht="50.25" customHeight="1" outlineLevel="1" x14ac:dyDescent="0.2">
      <c r="A63" s="357">
        <v>27</v>
      </c>
      <c r="B63" s="147" t="s">
        <v>167</v>
      </c>
      <c r="C63" s="147" t="s">
        <v>518</v>
      </c>
      <c r="D63" s="194">
        <v>8040550</v>
      </c>
      <c r="E63" s="147" t="s">
        <v>298</v>
      </c>
      <c r="F63" s="147">
        <v>0</v>
      </c>
      <c r="G63" s="179" t="s">
        <v>268</v>
      </c>
      <c r="H63" s="168" t="s">
        <v>199</v>
      </c>
      <c r="I63" s="168" t="s">
        <v>269</v>
      </c>
      <c r="J63" s="147" t="e">
        <f>'[1]upparb hyreskost FAS'!F6+431050+95651+76000</f>
        <v>#REF!</v>
      </c>
      <c r="K63" s="108" t="e">
        <f>'[1]upparb hyreskost FAS'!G6+89787+77520</f>
        <v>#REF!</v>
      </c>
      <c r="L63" s="108">
        <v>152544</v>
      </c>
      <c r="M63" s="108">
        <v>141726</v>
      </c>
      <c r="N63" s="108">
        <v>130828</v>
      </c>
      <c r="O63" s="172">
        <f t="shared" si="47"/>
        <v>425098</v>
      </c>
      <c r="P63" s="108">
        <v>78622</v>
      </c>
      <c r="Q63" s="108"/>
      <c r="R63" s="60"/>
      <c r="S63" s="60"/>
      <c r="T63" s="60"/>
      <c r="U63" s="60"/>
      <c r="V63" s="60"/>
      <c r="W63" s="146">
        <f t="shared" si="48"/>
        <v>503720</v>
      </c>
      <c r="X63" s="174" t="e">
        <f t="shared" si="49"/>
        <v>#REF!</v>
      </c>
      <c r="Y63" s="147" t="s">
        <v>299</v>
      </c>
      <c r="Z63" s="175" t="s">
        <v>202</v>
      </c>
      <c r="AA63" s="175" t="s">
        <v>286</v>
      </c>
      <c r="AB63" s="62"/>
      <c r="AC63" s="63"/>
      <c r="AD63" s="63" t="e">
        <f>'[1]B11 etapp 1'!L8/12*6</f>
        <v>#REF!</v>
      </c>
      <c r="AE63" s="63" t="e">
        <f>'[1]B11 etapp 1'!M8+'[1]B11 etapp 2'!L8/12*6</f>
        <v>#REF!</v>
      </c>
      <c r="AF63" s="63" t="e">
        <f>'[1]B11 etapp 1'!N8+'[1]B11 etapp 2'!M8+'[1]B11 etapp 3'!L8/12*6</f>
        <v>#REF!</v>
      </c>
      <c r="AG63" s="63" t="e">
        <f>'[1]B11 etapp 1'!O8+'[1]B11 etapp 2'!N8+'[1]B11 etapp 3'!M8</f>
        <v>#REF!</v>
      </c>
      <c r="AH63" s="63" t="e">
        <f>'[1]B11 etapp 1'!P8+'[1]B11 etapp 2'!O8+'[1]B11 etapp 3'!N8</f>
        <v>#REF!</v>
      </c>
      <c r="AI63" s="63" t="e">
        <f>'[1]B11 etapp 1'!Q8+'[1]B11 etapp 2'!P8+'[1]B11 etapp 3'!O8</f>
        <v>#REF!</v>
      </c>
      <c r="AJ63" s="63" t="e">
        <f>'[1]B11 etapp 1'!R8+'[1]B11 etapp 2'!Q8+'[1]B11 etapp 3'!P8</f>
        <v>#REF!</v>
      </c>
      <c r="AK63" s="63" t="e">
        <f>'[1]B11 etapp 1'!S8+'[1]B11 etapp 2'!R8+'[1]B11 etapp 3'!Q8</f>
        <v>#REF!</v>
      </c>
      <c r="AL63" s="63" t="e">
        <f>'[1]B11 etapp 1'!T8+'[1]B11 etapp 2'!S8+'[1]B11 etapp 3'!R8</f>
        <v>#REF!</v>
      </c>
      <c r="AM63" s="62"/>
      <c r="AN63" s="64"/>
      <c r="AO63" s="64" t="e">
        <f>-'[1]B11 etapp 1'!L22/12*6</f>
        <v>#REF!</v>
      </c>
      <c r="AP63" s="64" t="e">
        <f>-'[1]B11 etapp 1'!M22-'[1]B11 etapp 2'!L23/12*6</f>
        <v>#REF!</v>
      </c>
      <c r="AQ63" s="64" t="e">
        <f>-'[1]B11 etapp 1'!N22-'[1]B11 etapp 2'!M23-'[1]B11 etapp 3'!L22/12*6</f>
        <v>#REF!</v>
      </c>
      <c r="AR63" s="64" t="e">
        <f>-'[1]B11 etapp 1'!O22-'[1]B11 etapp 2'!N23-'[1]B11 etapp 3'!M22</f>
        <v>#REF!</v>
      </c>
      <c r="AS63" s="64" t="e">
        <f>-'[1]B11 etapp 1'!P22-'[1]B11 etapp 2'!O23-'[1]B11 etapp 3'!N22</f>
        <v>#REF!</v>
      </c>
      <c r="AT63" s="64" t="e">
        <f>-'[1]B11 etapp 1'!Q22-'[1]B11 etapp 2'!P23-'[1]B11 etapp 3'!O22</f>
        <v>#REF!</v>
      </c>
      <c r="AU63" s="64" t="e">
        <f>-'[1]B11 etapp 1'!R22-'[1]B11 etapp 2'!Q23-'[1]B11 etapp 3'!P22</f>
        <v>#REF!</v>
      </c>
      <c r="AV63" s="64" t="e">
        <f>-'[1]B11 etapp 1'!S22-'[1]B11 etapp 2'!R23-'[1]B11 etapp 3'!Q22</f>
        <v>#REF!</v>
      </c>
      <c r="AW63" s="64" t="e">
        <f>-'[1]B11 etapp 1'!T22-'[1]B11 etapp 2'!S23-'[1]B11 etapp 3'!R22</f>
        <v>#REF!</v>
      </c>
      <c r="AX63" s="65"/>
      <c r="AY63" s="65"/>
      <c r="AZ63" s="65">
        <v>11748</v>
      </c>
      <c r="BA63" s="65"/>
      <c r="BB63" s="65">
        <v>9089</v>
      </c>
      <c r="BC63" s="65"/>
      <c r="BD63" s="65"/>
      <c r="BE63" s="65"/>
      <c r="BF63" s="65"/>
      <c r="BG63" s="65"/>
      <c r="BH63" s="65"/>
      <c r="BI63" s="195"/>
      <c r="BJ63" s="195"/>
    </row>
    <row r="64" spans="1:62" s="126" customFormat="1" ht="32" outlineLevel="1" x14ac:dyDescent="0.2">
      <c r="A64" s="357">
        <v>28</v>
      </c>
      <c r="B64" s="168" t="s">
        <v>167</v>
      </c>
      <c r="C64" s="168" t="s">
        <v>519</v>
      </c>
      <c r="D64" s="177">
        <v>8040961</v>
      </c>
      <c r="E64" s="168" t="s">
        <v>301</v>
      </c>
      <c r="F64" s="168">
        <v>0</v>
      </c>
      <c r="G64" s="169" t="s">
        <v>268</v>
      </c>
      <c r="H64" s="168" t="s">
        <v>199</v>
      </c>
      <c r="I64" s="168" t="s">
        <v>269</v>
      </c>
      <c r="J64" s="147" t="e">
        <f>'[1]upparb hyreskost FAS'!G23+2335150</f>
        <v>#REF!</v>
      </c>
      <c r="K64" s="108" t="e">
        <f>'[1]upparb hyreskost FAS'!G23+1069551+860334</f>
        <v>#REF!</v>
      </c>
      <c r="L64" s="108">
        <v>405265</v>
      </c>
      <c r="M64" s="108"/>
      <c r="N64" s="108"/>
      <c r="O64" s="172">
        <f t="shared" si="47"/>
        <v>405265</v>
      </c>
      <c r="P64" s="60"/>
      <c r="Q64" s="60"/>
      <c r="R64" s="60"/>
      <c r="S64" s="60"/>
      <c r="T64" s="60"/>
      <c r="U64" s="60"/>
      <c r="V64" s="60"/>
      <c r="W64" s="146">
        <f t="shared" si="48"/>
        <v>405265</v>
      </c>
      <c r="X64" s="174" t="e">
        <f t="shared" si="49"/>
        <v>#REF!</v>
      </c>
      <c r="Y64" s="147" t="s">
        <v>302</v>
      </c>
      <c r="Z64" s="147" t="s">
        <v>202</v>
      </c>
      <c r="AA64" s="175" t="s">
        <v>286</v>
      </c>
      <c r="AB64" s="62"/>
      <c r="AC64" s="63" t="e">
        <f>'[1]J - huset ing 100'!L8/12*6</f>
        <v>#REF!</v>
      </c>
      <c r="AD64" s="63" t="e">
        <f>'[1]J - huset ing 100'!M8</f>
        <v>#REF!</v>
      </c>
      <c r="AE64" s="63" t="e">
        <f>'[1]J - huset ing 100'!N8</f>
        <v>#REF!</v>
      </c>
      <c r="AF64" s="63" t="e">
        <f>'[1]J - huset ing 100'!O8</f>
        <v>#REF!</v>
      </c>
      <c r="AG64" s="63" t="e">
        <f>'[1]J - huset ing 100'!P8</f>
        <v>#REF!</v>
      </c>
      <c r="AH64" s="63" t="e">
        <f>'[1]J - huset ing 100'!Q8</f>
        <v>#REF!</v>
      </c>
      <c r="AI64" s="63" t="e">
        <f>'[1]J - huset ing 100'!R8</f>
        <v>#REF!</v>
      </c>
      <c r="AJ64" s="63" t="e">
        <f>'[1]J - huset ing 100'!S8</f>
        <v>#REF!</v>
      </c>
      <c r="AK64" s="63" t="e">
        <f>'[1]J - huset ing 100'!T8</f>
        <v>#REF!</v>
      </c>
      <c r="AL64" s="63" t="e">
        <f>'[1]J - huset ing 100'!U8</f>
        <v>#REF!</v>
      </c>
      <c r="AM64" s="62"/>
      <c r="AN64" s="64" t="e">
        <f>-'[1]J - huset ing 100'!L22/12*6</f>
        <v>#REF!</v>
      </c>
      <c r="AO64" s="64" t="e">
        <f>-'[1]J - huset ing 100'!M22</f>
        <v>#REF!</v>
      </c>
      <c r="AP64" s="64" t="e">
        <f>-'[1]J - huset ing 100'!N22</f>
        <v>#REF!</v>
      </c>
      <c r="AQ64" s="64" t="e">
        <f>-'[1]J - huset ing 100'!O22</f>
        <v>#REF!</v>
      </c>
      <c r="AR64" s="64" t="e">
        <f>-'[1]J - huset ing 100'!P22</f>
        <v>#REF!</v>
      </c>
      <c r="AS64" s="64" t="e">
        <f>-'[1]J - huset ing 100'!Q22</f>
        <v>#REF!</v>
      </c>
      <c r="AT64" s="64" t="e">
        <f>-'[1]J - huset ing 100'!R22</f>
        <v>#REF!</v>
      </c>
      <c r="AU64" s="64" t="e">
        <f>-'[1]J - huset ing 100'!S22</f>
        <v>#REF!</v>
      </c>
      <c r="AV64" s="64" t="e">
        <f>-'[1]J - huset ing 100'!T22</f>
        <v>#REF!</v>
      </c>
      <c r="AW64" s="64" t="e">
        <f>-'[1]J - huset ing 100'!U22</f>
        <v>#REF!</v>
      </c>
      <c r="AX64" s="65"/>
      <c r="AY64" s="65"/>
      <c r="AZ64" s="65"/>
      <c r="BA64" s="65"/>
      <c r="BB64" s="65"/>
      <c r="BC64" s="65"/>
      <c r="BD64" s="65"/>
      <c r="BE64" s="65"/>
      <c r="BF64" s="65"/>
      <c r="BG64" s="65"/>
      <c r="BH64" s="65"/>
      <c r="BI64" s="158"/>
      <c r="BJ64" s="158"/>
    </row>
    <row r="65" spans="1:70" s="102" customFormat="1" ht="32" x14ac:dyDescent="0.2">
      <c r="A65" s="357"/>
      <c r="B65" s="159" t="s">
        <v>194</v>
      </c>
      <c r="C65" s="160" t="s">
        <v>303</v>
      </c>
      <c r="D65" s="161"/>
      <c r="E65" s="160"/>
      <c r="F65" s="160"/>
      <c r="G65" s="160"/>
      <c r="H65" s="160"/>
      <c r="I65" s="160"/>
      <c r="J65" s="164" t="e">
        <f>SUM(J45:J64)</f>
        <v>#REF!</v>
      </c>
      <c r="K65" s="164" t="e">
        <f>SUM(K45:K64)</f>
        <v>#REF!</v>
      </c>
      <c r="L65" s="164">
        <f t="shared" ref="L65:AQ65" si="52">SUM(L49:L64)</f>
        <v>789834</v>
      </c>
      <c r="M65" s="164">
        <f t="shared" si="52"/>
        <v>330526</v>
      </c>
      <c r="N65" s="164">
        <f t="shared" si="52"/>
        <v>483428</v>
      </c>
      <c r="O65" s="164">
        <f t="shared" si="52"/>
        <v>1603788</v>
      </c>
      <c r="P65" s="164">
        <f t="shared" si="52"/>
        <v>522422</v>
      </c>
      <c r="Q65" s="164">
        <f t="shared" si="52"/>
        <v>301700</v>
      </c>
      <c r="R65" s="164">
        <f t="shared" si="52"/>
        <v>170974</v>
      </c>
      <c r="S65" s="164">
        <f t="shared" si="52"/>
        <v>30000</v>
      </c>
      <c r="T65" s="164">
        <f t="shared" si="52"/>
        <v>5000</v>
      </c>
      <c r="U65" s="164">
        <f t="shared" si="52"/>
        <v>5000</v>
      </c>
      <c r="V65" s="164">
        <f t="shared" si="52"/>
        <v>0</v>
      </c>
      <c r="W65" s="164">
        <f t="shared" si="52"/>
        <v>2638884</v>
      </c>
      <c r="X65" s="164" t="e">
        <f t="shared" si="52"/>
        <v>#REF!</v>
      </c>
      <c r="Y65" s="164">
        <f t="shared" si="52"/>
        <v>0</v>
      </c>
      <c r="Z65" s="164">
        <f t="shared" si="52"/>
        <v>0</v>
      </c>
      <c r="AA65" s="164">
        <f t="shared" si="52"/>
        <v>0</v>
      </c>
      <c r="AB65" s="164">
        <f t="shared" si="52"/>
        <v>0</v>
      </c>
      <c r="AC65" s="164" t="e">
        <f t="shared" si="52"/>
        <v>#REF!</v>
      </c>
      <c r="AD65" s="164" t="e">
        <f t="shared" si="52"/>
        <v>#REF!</v>
      </c>
      <c r="AE65" s="164" t="e">
        <f t="shared" si="52"/>
        <v>#REF!</v>
      </c>
      <c r="AF65" s="164" t="e">
        <f t="shared" si="52"/>
        <v>#REF!</v>
      </c>
      <c r="AG65" s="164" t="e">
        <f t="shared" si="52"/>
        <v>#REF!</v>
      </c>
      <c r="AH65" s="164" t="e">
        <f t="shared" si="52"/>
        <v>#REF!</v>
      </c>
      <c r="AI65" s="164" t="e">
        <f t="shared" si="52"/>
        <v>#REF!</v>
      </c>
      <c r="AJ65" s="164" t="e">
        <f t="shared" si="52"/>
        <v>#REF!</v>
      </c>
      <c r="AK65" s="164" t="e">
        <f t="shared" si="52"/>
        <v>#REF!</v>
      </c>
      <c r="AL65" s="164" t="e">
        <f t="shared" si="52"/>
        <v>#REF!</v>
      </c>
      <c r="AM65" s="164">
        <f t="shared" si="52"/>
        <v>0</v>
      </c>
      <c r="AN65" s="164" t="e">
        <f t="shared" si="52"/>
        <v>#REF!</v>
      </c>
      <c r="AO65" s="164" t="e">
        <f t="shared" si="52"/>
        <v>#REF!</v>
      </c>
      <c r="AP65" s="164" t="e">
        <f t="shared" si="52"/>
        <v>#REF!</v>
      </c>
      <c r="AQ65" s="164" t="e">
        <f t="shared" si="52"/>
        <v>#REF!</v>
      </c>
      <c r="AR65" s="164" t="e">
        <f t="shared" ref="AR65:BW65" si="53">SUM(AR49:AR64)</f>
        <v>#REF!</v>
      </c>
      <c r="AS65" s="164" t="e">
        <f t="shared" si="53"/>
        <v>#REF!</v>
      </c>
      <c r="AT65" s="164" t="e">
        <f t="shared" si="53"/>
        <v>#REF!</v>
      </c>
      <c r="AU65" s="164" t="e">
        <f t="shared" si="53"/>
        <v>#REF!</v>
      </c>
      <c r="AV65" s="164" t="e">
        <f t="shared" si="53"/>
        <v>#REF!</v>
      </c>
      <c r="AW65" s="164" t="e">
        <f t="shared" si="53"/>
        <v>#REF!</v>
      </c>
      <c r="AX65" s="164">
        <f t="shared" si="53"/>
        <v>0</v>
      </c>
      <c r="AY65" s="164">
        <f t="shared" si="53"/>
        <v>0</v>
      </c>
      <c r="AZ65" s="164">
        <f t="shared" si="53"/>
        <v>11748</v>
      </c>
      <c r="BA65" s="164">
        <f t="shared" si="53"/>
        <v>0</v>
      </c>
      <c r="BB65" s="164">
        <f t="shared" si="53"/>
        <v>29217</v>
      </c>
      <c r="BC65" s="164">
        <f t="shared" si="53"/>
        <v>0</v>
      </c>
      <c r="BD65" s="164">
        <f t="shared" si="53"/>
        <v>46942</v>
      </c>
      <c r="BE65" s="164">
        <f t="shared" si="53"/>
        <v>0</v>
      </c>
      <c r="BF65" s="164">
        <f t="shared" si="53"/>
        <v>0</v>
      </c>
      <c r="BG65" s="164">
        <f t="shared" si="53"/>
        <v>0</v>
      </c>
      <c r="BH65" s="164">
        <f t="shared" si="53"/>
        <v>0</v>
      </c>
      <c r="BI65" s="4"/>
      <c r="BJ65" s="4"/>
      <c r="BR65" s="197"/>
    </row>
    <row r="66" spans="1:70" s="102" customFormat="1" ht="16" x14ac:dyDescent="0.2">
      <c r="A66" s="357"/>
      <c r="B66" s="198" t="s">
        <v>194</v>
      </c>
      <c r="C66" s="199"/>
      <c r="D66" s="200"/>
      <c r="E66" s="168"/>
      <c r="F66" s="168"/>
      <c r="G66" s="168"/>
      <c r="H66" s="201"/>
      <c r="I66" s="201"/>
      <c r="J66" s="202"/>
      <c r="K66" s="98"/>
      <c r="L66" s="98"/>
      <c r="M66" s="98"/>
      <c r="N66" s="98"/>
      <c r="O66" s="146"/>
      <c r="P66" s="98"/>
      <c r="Q66" s="98"/>
      <c r="R66" s="98"/>
      <c r="S66" s="98"/>
      <c r="T66" s="98"/>
      <c r="U66" s="98"/>
      <c r="V66" s="98"/>
      <c r="W66" s="146"/>
      <c r="X66" s="146"/>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4"/>
      <c r="BJ66" s="4"/>
    </row>
    <row r="67" spans="1:70" s="102" customFormat="1" ht="16" x14ac:dyDescent="0.2">
      <c r="A67" s="357"/>
      <c r="B67" s="203" t="s">
        <v>194</v>
      </c>
      <c r="C67" s="204" t="s">
        <v>304</v>
      </c>
      <c r="D67" s="205"/>
      <c r="E67" s="206"/>
      <c r="F67" s="206"/>
      <c r="G67" s="206"/>
      <c r="H67" s="206"/>
      <c r="I67" s="206"/>
      <c r="J67" s="207"/>
      <c r="K67" s="208"/>
      <c r="L67" s="208"/>
      <c r="M67" s="208"/>
      <c r="N67" s="208"/>
      <c r="O67" s="208"/>
      <c r="P67" s="208"/>
      <c r="Q67" s="208"/>
      <c r="R67" s="208"/>
      <c r="S67" s="208"/>
      <c r="T67" s="208"/>
      <c r="U67" s="208"/>
      <c r="V67" s="208"/>
      <c r="W67" s="208"/>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4"/>
      <c r="BJ67" s="4"/>
    </row>
    <row r="68" spans="1:70" s="211" customFormat="1" ht="47.25" customHeight="1" outlineLevel="1" x14ac:dyDescent="0.2">
      <c r="A68" s="357">
        <v>29</v>
      </c>
      <c r="B68" s="168" t="s">
        <v>305</v>
      </c>
      <c r="C68" s="168" t="s">
        <v>306</v>
      </c>
      <c r="D68" s="177"/>
      <c r="E68" s="168" t="s">
        <v>307</v>
      </c>
      <c r="F68" s="168">
        <v>1</v>
      </c>
      <c r="G68" s="168" t="s">
        <v>308</v>
      </c>
      <c r="H68" s="168" t="s">
        <v>309</v>
      </c>
      <c r="I68" s="168" t="s">
        <v>200</v>
      </c>
      <c r="J68" s="147"/>
      <c r="K68" s="108">
        <v>2000</v>
      </c>
      <c r="L68" s="108">
        <f>3000+5000</f>
        <v>8000</v>
      </c>
      <c r="M68" s="108"/>
      <c r="N68" s="108"/>
      <c r="O68" s="172">
        <f t="shared" ref="O68:O75" si="54">L68+M68+N68</f>
        <v>8000</v>
      </c>
      <c r="P68" s="108"/>
      <c r="Q68" s="108"/>
      <c r="R68" s="108"/>
      <c r="S68" s="108"/>
      <c r="T68" s="108"/>
      <c r="U68" s="108"/>
      <c r="V68" s="108"/>
      <c r="W68" s="146">
        <f t="shared" ref="W68:W75" si="55">O68+P68+Q68+R68+S68+T68+U68+V68</f>
        <v>8000</v>
      </c>
      <c r="X68" s="174">
        <f t="shared" ref="X68:X75" si="56">K68+L68+M68+N68+P68+Q68+R68+S68+T68+U68+V68</f>
        <v>10000</v>
      </c>
      <c r="Y68" s="175"/>
      <c r="Z68" s="175" t="s">
        <v>215</v>
      </c>
      <c r="AA68" s="147" t="s">
        <v>310</v>
      </c>
      <c r="AB68" s="62"/>
      <c r="AC68" s="63"/>
      <c r="AD68" s="63" t="e">
        <f>'[1]Enköp renov 5112'!L8</f>
        <v>#REF!</v>
      </c>
      <c r="AE68" s="63" t="e">
        <f>'[1]Enköp renov 5112'!M8</f>
        <v>#REF!</v>
      </c>
      <c r="AF68" s="63" t="e">
        <f>'[1]Enköp renov 5112'!N8</f>
        <v>#REF!</v>
      </c>
      <c r="AG68" s="63" t="e">
        <f>'[1]Enköp renov 5112'!O8</f>
        <v>#REF!</v>
      </c>
      <c r="AH68" s="63" t="e">
        <f>'[1]Enköp renov 5112'!P8</f>
        <v>#REF!</v>
      </c>
      <c r="AI68" s="63" t="e">
        <f>'[1]Enköp renov 5112'!Q8</f>
        <v>#REF!</v>
      </c>
      <c r="AJ68" s="63" t="e">
        <f>'[1]Enköp renov 5112'!R8</f>
        <v>#REF!</v>
      </c>
      <c r="AK68" s="63" t="e">
        <f>'[1]Enköp renov 5112'!S8</f>
        <v>#REF!</v>
      </c>
      <c r="AL68" s="63" t="e">
        <f>'[1]Enköp renov 5112'!T8</f>
        <v>#REF!</v>
      </c>
      <c r="AM68" s="62"/>
      <c r="AN68" s="64"/>
      <c r="AO68" s="64" t="e">
        <f>-'[1]Enköp renov 5112'!L22</f>
        <v>#REF!</v>
      </c>
      <c r="AP68" s="64" t="e">
        <f>-'[1]Enköp renov 5112'!M22</f>
        <v>#REF!</v>
      </c>
      <c r="AQ68" s="64" t="e">
        <f>-'[1]Enköp renov 5112'!N22</f>
        <v>#REF!</v>
      </c>
      <c r="AR68" s="64" t="e">
        <f>-'[1]Enköp renov 5112'!O22</f>
        <v>#REF!</v>
      </c>
      <c r="AS68" s="64" t="e">
        <f>-'[1]Enköp renov 5112'!P22</f>
        <v>#REF!</v>
      </c>
      <c r="AT68" s="64" t="e">
        <f>-'[1]Enköp renov 5112'!Q22</f>
        <v>#REF!</v>
      </c>
      <c r="AU68" s="64" t="e">
        <f>-'[1]Enköp renov 5112'!R22</f>
        <v>#REF!</v>
      </c>
      <c r="AV68" s="64" t="e">
        <f>-'[1]Enköp renov 5112'!S22</f>
        <v>#REF!</v>
      </c>
      <c r="AW68" s="64" t="e">
        <f>-'[1]Enköp renov 5112'!T22</f>
        <v>#REF!</v>
      </c>
      <c r="AX68" s="65"/>
      <c r="AY68" s="65"/>
      <c r="AZ68" s="65"/>
      <c r="BA68" s="65"/>
      <c r="BB68" s="65"/>
      <c r="BC68" s="65"/>
      <c r="BD68" s="65"/>
      <c r="BE68" s="65"/>
      <c r="BF68" s="65"/>
      <c r="BG68" s="65"/>
      <c r="BH68" s="65"/>
      <c r="BI68" s="210"/>
      <c r="BJ68" s="210"/>
    </row>
    <row r="69" spans="1:70" s="211" customFormat="1" ht="32" outlineLevel="1" x14ac:dyDescent="0.2">
      <c r="A69" s="359">
        <v>30</v>
      </c>
      <c r="B69" s="168" t="s">
        <v>305</v>
      </c>
      <c r="C69" s="168" t="s">
        <v>311</v>
      </c>
      <c r="D69" s="177" t="s">
        <v>312</v>
      </c>
      <c r="E69" s="168" t="s">
        <v>313</v>
      </c>
      <c r="F69" s="168">
        <v>2</v>
      </c>
      <c r="G69" s="168" t="s">
        <v>314</v>
      </c>
      <c r="H69" s="168" t="s">
        <v>199</v>
      </c>
      <c r="I69" s="168" t="s">
        <v>200</v>
      </c>
      <c r="J69" s="147"/>
      <c r="K69" s="108"/>
      <c r="L69" s="108">
        <v>3000</v>
      </c>
      <c r="M69" s="108"/>
      <c r="N69" s="108"/>
      <c r="O69" s="172">
        <f t="shared" si="54"/>
        <v>3000</v>
      </c>
      <c r="P69" s="108"/>
      <c r="Q69" s="108"/>
      <c r="R69" s="108"/>
      <c r="S69" s="108"/>
      <c r="T69" s="108"/>
      <c r="U69" s="108"/>
      <c r="V69" s="108"/>
      <c r="W69" s="146">
        <f t="shared" si="55"/>
        <v>3000</v>
      </c>
      <c r="X69" s="174">
        <f t="shared" si="56"/>
        <v>3000</v>
      </c>
      <c r="Y69" s="175"/>
      <c r="Z69" s="175" t="s">
        <v>225</v>
      </c>
      <c r="AA69" s="147"/>
      <c r="AB69" s="62"/>
      <c r="AC69" s="63"/>
      <c r="AD69" s="63" t="e">
        <f>'[1]Enköp med avd 1 o 2'!L8</f>
        <v>#REF!</v>
      </c>
      <c r="AE69" s="63" t="e">
        <f>'[1]Enköp med avd 1 o 2'!M8</f>
        <v>#REF!</v>
      </c>
      <c r="AF69" s="63" t="e">
        <f>'[1]Enköp med avd 1 o 2'!N8</f>
        <v>#REF!</v>
      </c>
      <c r="AG69" s="63" t="e">
        <f>'[1]Enköp med avd 1 o 2'!O8</f>
        <v>#REF!</v>
      </c>
      <c r="AH69" s="63" t="e">
        <f>'[1]Enköp med avd 1 o 2'!P8</f>
        <v>#REF!</v>
      </c>
      <c r="AI69" s="63" t="e">
        <f>'[1]Enköp med avd 1 o 2'!Q8</f>
        <v>#REF!</v>
      </c>
      <c r="AJ69" s="63" t="e">
        <f>'[1]Enköp med avd 1 o 2'!R8</f>
        <v>#REF!</v>
      </c>
      <c r="AK69" s="63" t="e">
        <f>'[1]Enköp med avd 1 o 2'!S8</f>
        <v>#REF!</v>
      </c>
      <c r="AL69" s="63" t="e">
        <f>'[1]Enköp med avd 1 o 2'!T8</f>
        <v>#REF!</v>
      </c>
      <c r="AM69" s="62"/>
      <c r="AN69" s="64"/>
      <c r="AO69" s="64" t="e">
        <f>-'[1]Enköp med avd 1 o 2'!L22</f>
        <v>#REF!</v>
      </c>
      <c r="AP69" s="64" t="e">
        <f>-'[1]Enköp med avd 1 o 2'!M22</f>
        <v>#REF!</v>
      </c>
      <c r="AQ69" s="64" t="e">
        <f>-'[1]Enköp med avd 1 o 2'!N22</f>
        <v>#REF!</v>
      </c>
      <c r="AR69" s="64" t="e">
        <f>-'[1]Enköp med avd 1 o 2'!O22</f>
        <v>#REF!</v>
      </c>
      <c r="AS69" s="64" t="e">
        <f>-'[1]Enköp med avd 1 o 2'!P22</f>
        <v>#REF!</v>
      </c>
      <c r="AT69" s="64" t="e">
        <f>-'[1]Enköp med avd 1 o 2'!Q22</f>
        <v>#REF!</v>
      </c>
      <c r="AU69" s="64" t="e">
        <f>-'[1]Enköp med avd 1 o 2'!R22</f>
        <v>#REF!</v>
      </c>
      <c r="AV69" s="64" t="e">
        <f>-'[1]Enköp med avd 1 o 2'!S22</f>
        <v>#REF!</v>
      </c>
      <c r="AW69" s="64" t="e">
        <f>-'[1]Enköp med avd 1 o 2'!T22</f>
        <v>#REF!</v>
      </c>
      <c r="AX69" s="65"/>
      <c r="AY69" s="65"/>
      <c r="AZ69" s="65"/>
      <c r="BA69" s="65"/>
      <c r="BB69" s="65"/>
      <c r="BC69" s="65"/>
      <c r="BD69" s="65"/>
      <c r="BE69" s="65"/>
      <c r="BF69" s="65"/>
      <c r="BG69" s="65"/>
      <c r="BH69" s="65"/>
      <c r="BI69" s="210"/>
      <c r="BJ69" s="210"/>
    </row>
    <row r="70" spans="1:70" s="211" customFormat="1" ht="47.25" customHeight="1" outlineLevel="1" x14ac:dyDescent="0.2">
      <c r="A70" s="359">
        <v>31</v>
      </c>
      <c r="B70" s="168" t="s">
        <v>305</v>
      </c>
      <c r="C70" s="168" t="s">
        <v>315</v>
      </c>
      <c r="D70" s="177" t="s">
        <v>312</v>
      </c>
      <c r="E70" s="168" t="s">
        <v>316</v>
      </c>
      <c r="F70" s="168">
        <v>4</v>
      </c>
      <c r="G70" s="168" t="s">
        <v>317</v>
      </c>
      <c r="H70" s="168" t="s">
        <v>199</v>
      </c>
      <c r="I70" s="168" t="s">
        <v>200</v>
      </c>
      <c r="J70" s="147"/>
      <c r="K70" s="108"/>
      <c r="L70" s="108"/>
      <c r="M70" s="108"/>
      <c r="N70" s="108"/>
      <c r="O70" s="172">
        <f t="shared" si="54"/>
        <v>0</v>
      </c>
      <c r="P70" s="108"/>
      <c r="Q70" s="108">
        <v>5000</v>
      </c>
      <c r="R70" s="108">
        <v>25000</v>
      </c>
      <c r="S70" s="108">
        <v>12500</v>
      </c>
      <c r="T70" s="108"/>
      <c r="U70" s="108"/>
      <c r="V70" s="108"/>
      <c r="W70" s="146">
        <f t="shared" si="55"/>
        <v>42500</v>
      </c>
      <c r="X70" s="174">
        <f t="shared" si="56"/>
        <v>42500</v>
      </c>
      <c r="Y70" s="175"/>
      <c r="Z70" s="175" t="s">
        <v>202</v>
      </c>
      <c r="AA70" s="147" t="s">
        <v>318</v>
      </c>
      <c r="AB70" s="62"/>
      <c r="AC70" s="63"/>
      <c r="AD70" s="63"/>
      <c r="AE70" s="63"/>
      <c r="AF70" s="63"/>
      <c r="AG70" s="63"/>
      <c r="AH70" s="63" t="e">
        <f>'[1]Enköp enkelrum'!L8*50%</f>
        <v>#REF!</v>
      </c>
      <c r="AI70" s="63" t="e">
        <f>'[1]Enköp enkelrum'!M8*50%</f>
        <v>#REF!</v>
      </c>
      <c r="AJ70" s="63" t="e">
        <f>'[1]Enköp enkelrum'!N8*50%+'[1]Enköp enkelrum'!L8*50%</f>
        <v>#REF!</v>
      </c>
      <c r="AK70" s="63" t="e">
        <f>'[1]Enköp enkelrum'!O8*50%+'[1]Enköp enkelrum'!M8*50%</f>
        <v>#REF!</v>
      </c>
      <c r="AL70" s="63" t="e">
        <f>'[1]Enköp enkelrum'!P8*50%+'[1]Enköp enkelrum'!N8*50%</f>
        <v>#REF!</v>
      </c>
      <c r="AM70" s="62"/>
      <c r="AN70" s="64"/>
      <c r="AO70" s="64"/>
      <c r="AP70" s="64"/>
      <c r="AQ70" s="64"/>
      <c r="AR70" s="64"/>
      <c r="AS70" s="64" t="e">
        <f>-'[1]Enköp enkelrum'!L22*50%</f>
        <v>#REF!</v>
      </c>
      <c r="AT70" s="64" t="e">
        <f>-'[1]Enköp enkelrum'!M22*50%</f>
        <v>#REF!</v>
      </c>
      <c r="AU70" s="64" t="e">
        <f>-'[1]Enköp enkelrum'!N22*50%-'[1]Enköp enkelrum'!L22*50%</f>
        <v>#REF!</v>
      </c>
      <c r="AV70" s="64" t="e">
        <f>-'[1]Enköp enkelrum'!O22*50%-'[1]Enköp enkelrum'!M22*50%</f>
        <v>#REF!</v>
      </c>
      <c r="AW70" s="64" t="e">
        <f>-'[1]Enköp enkelrum'!P22*50%-'[1]Enköp enkelrum'!N22*50%</f>
        <v>#REF!</v>
      </c>
      <c r="AX70" s="65"/>
      <c r="AY70" s="65"/>
      <c r="AZ70" s="65"/>
      <c r="BA70" s="65"/>
      <c r="BB70" s="65"/>
      <c r="BC70" s="65"/>
      <c r="BD70" s="65"/>
      <c r="BE70" s="65"/>
      <c r="BF70" s="65"/>
      <c r="BG70" s="65"/>
      <c r="BH70" s="65"/>
      <c r="BI70" s="210"/>
      <c r="BJ70" s="210"/>
    </row>
    <row r="71" spans="1:70" s="211" customFormat="1" ht="42" customHeight="1" outlineLevel="1" x14ac:dyDescent="0.2">
      <c r="A71" s="359">
        <v>32</v>
      </c>
      <c r="B71" s="168" t="s">
        <v>305</v>
      </c>
      <c r="C71" s="168" t="s">
        <v>319</v>
      </c>
      <c r="D71" s="177" t="s">
        <v>312</v>
      </c>
      <c r="E71" s="168" t="s">
        <v>320</v>
      </c>
      <c r="F71" s="168">
        <v>1</v>
      </c>
      <c r="G71" s="168" t="s">
        <v>321</v>
      </c>
      <c r="H71" s="168" t="s">
        <v>199</v>
      </c>
      <c r="I71" s="168" t="s">
        <v>200</v>
      </c>
      <c r="J71" s="147"/>
      <c r="K71" s="108"/>
      <c r="L71" s="108">
        <v>10000</v>
      </c>
      <c r="M71" s="108"/>
      <c r="N71" s="108"/>
      <c r="O71" s="172">
        <f t="shared" si="54"/>
        <v>10000</v>
      </c>
      <c r="P71" s="108"/>
      <c r="Q71" s="108"/>
      <c r="R71" s="108"/>
      <c r="S71" s="108"/>
      <c r="T71" s="108"/>
      <c r="U71" s="108"/>
      <c r="V71" s="108"/>
      <c r="W71" s="146">
        <f t="shared" si="55"/>
        <v>10000</v>
      </c>
      <c r="X71" s="174">
        <f t="shared" si="56"/>
        <v>10000</v>
      </c>
      <c r="Y71" s="175"/>
      <c r="Z71" s="175" t="s">
        <v>202</v>
      </c>
      <c r="AA71" s="147" t="s">
        <v>322</v>
      </c>
      <c r="AB71" s="62"/>
      <c r="AC71" s="63"/>
      <c r="AD71" s="63" t="e">
        <f>'[1]Enköp utök sterilen'!L8</f>
        <v>#REF!</v>
      </c>
      <c r="AE71" s="63" t="e">
        <f>'[1]Enköp utök sterilen'!M8</f>
        <v>#REF!</v>
      </c>
      <c r="AF71" s="63" t="e">
        <f>'[1]Enköp utök sterilen'!N8</f>
        <v>#REF!</v>
      </c>
      <c r="AG71" s="63" t="e">
        <f>'[1]Enköp utök sterilen'!O8</f>
        <v>#REF!</v>
      </c>
      <c r="AH71" s="63" t="e">
        <f>'[1]Enköp utök sterilen'!P8</f>
        <v>#REF!</v>
      </c>
      <c r="AI71" s="63" t="e">
        <f>'[1]Enköp utök sterilen'!Q8</f>
        <v>#REF!</v>
      </c>
      <c r="AJ71" s="63" t="e">
        <f>'[1]Enköp utök sterilen'!R8</f>
        <v>#REF!</v>
      </c>
      <c r="AK71" s="63" t="e">
        <f>'[1]Enköp utök sterilen'!S8</f>
        <v>#REF!</v>
      </c>
      <c r="AL71" s="63" t="e">
        <f>'[1]Enköp utök sterilen'!T8</f>
        <v>#REF!</v>
      </c>
      <c r="AM71" s="62"/>
      <c r="AN71" s="64"/>
      <c r="AO71" s="64" t="e">
        <f>-'[1]Enköp utök sterilen'!L22</f>
        <v>#REF!</v>
      </c>
      <c r="AP71" s="64" t="e">
        <f>-'[1]Enköp utök sterilen'!M22</f>
        <v>#REF!</v>
      </c>
      <c r="AQ71" s="64" t="e">
        <f>-'[1]Enköp utök sterilen'!N22</f>
        <v>#REF!</v>
      </c>
      <c r="AR71" s="64" t="e">
        <f>-'[1]Enköp utök sterilen'!O22</f>
        <v>#REF!</v>
      </c>
      <c r="AS71" s="64" t="e">
        <f>-'[1]Enköp utök sterilen'!P22</f>
        <v>#REF!</v>
      </c>
      <c r="AT71" s="64" t="e">
        <f>-'[1]Enköp utök sterilen'!Q22</f>
        <v>#REF!</v>
      </c>
      <c r="AU71" s="64" t="e">
        <f>-'[1]Enköp utök sterilen'!R22</f>
        <v>#REF!</v>
      </c>
      <c r="AV71" s="64" t="e">
        <f>-'[1]Enköp utök sterilen'!S22</f>
        <v>#REF!</v>
      </c>
      <c r="AW71" s="64" t="e">
        <f>-'[1]Enköp utök sterilen'!T22</f>
        <v>#REF!</v>
      </c>
      <c r="AX71" s="65"/>
      <c r="AY71" s="65"/>
      <c r="AZ71" s="65"/>
      <c r="BA71" s="65"/>
      <c r="BB71" s="65"/>
      <c r="BC71" s="65"/>
      <c r="BD71" s="65"/>
      <c r="BE71" s="65"/>
      <c r="BF71" s="65"/>
      <c r="BG71" s="65"/>
      <c r="BH71" s="65"/>
      <c r="BI71" s="210"/>
      <c r="BJ71" s="210"/>
    </row>
    <row r="72" spans="1:70" s="211" customFormat="1" ht="43.5" customHeight="1" outlineLevel="1" x14ac:dyDescent="0.2">
      <c r="A72" s="359">
        <v>33</v>
      </c>
      <c r="B72" s="168" t="s">
        <v>305</v>
      </c>
      <c r="C72" s="168" t="s">
        <v>323</v>
      </c>
      <c r="D72" s="177" t="s">
        <v>312</v>
      </c>
      <c r="E72" s="168"/>
      <c r="F72" s="168">
        <v>1</v>
      </c>
      <c r="G72" s="168" t="s">
        <v>324</v>
      </c>
      <c r="H72" s="168" t="s">
        <v>199</v>
      </c>
      <c r="I72" s="168" t="s">
        <v>200</v>
      </c>
      <c r="J72" s="147"/>
      <c r="K72" s="108"/>
      <c r="L72" s="108"/>
      <c r="M72" s="108">
        <v>3000</v>
      </c>
      <c r="N72" s="108"/>
      <c r="O72" s="172">
        <f t="shared" si="54"/>
        <v>3000</v>
      </c>
      <c r="P72" s="108"/>
      <c r="Q72" s="108"/>
      <c r="R72" s="108"/>
      <c r="S72" s="108"/>
      <c r="T72" s="108"/>
      <c r="U72" s="108"/>
      <c r="V72" s="108"/>
      <c r="W72" s="146">
        <f t="shared" si="55"/>
        <v>3000</v>
      </c>
      <c r="X72" s="174">
        <f t="shared" si="56"/>
        <v>3000</v>
      </c>
      <c r="Y72" s="175"/>
      <c r="Z72" s="175" t="s">
        <v>202</v>
      </c>
      <c r="AA72" s="147" t="s">
        <v>322</v>
      </c>
      <c r="AB72" s="62"/>
      <c r="AC72" s="63"/>
      <c r="AD72" s="63"/>
      <c r="AE72" s="63" t="e">
        <f>'[1]Enköp förbättra flöden op'!L8</f>
        <v>#REF!</v>
      </c>
      <c r="AF72" s="63" t="e">
        <f>'[1]Enköp förbättra flöden op'!M8</f>
        <v>#REF!</v>
      </c>
      <c r="AG72" s="63" t="e">
        <f>'[1]Enköp förbättra flöden op'!N8</f>
        <v>#REF!</v>
      </c>
      <c r="AH72" s="63" t="e">
        <f>'[1]Enköp förbättra flöden op'!O8</f>
        <v>#REF!</v>
      </c>
      <c r="AI72" s="63" t="e">
        <f>'[1]Enköp förbättra flöden op'!P8</f>
        <v>#REF!</v>
      </c>
      <c r="AJ72" s="63" t="e">
        <f>'[1]Enköp förbättra flöden op'!Q8</f>
        <v>#REF!</v>
      </c>
      <c r="AK72" s="63" t="e">
        <f>'[1]Enköp förbättra flöden op'!R8</f>
        <v>#REF!</v>
      </c>
      <c r="AL72" s="63" t="e">
        <f>'[1]Enköp förbättra flöden op'!S8</f>
        <v>#REF!</v>
      </c>
      <c r="AM72" s="62"/>
      <c r="AN72" s="64"/>
      <c r="AO72" s="64"/>
      <c r="AP72" s="64" t="e">
        <f>-'[1]Enköp förbättra flöden op'!L22</f>
        <v>#REF!</v>
      </c>
      <c r="AQ72" s="64" t="e">
        <f>-'[1]Enköp förbättra flöden op'!M22</f>
        <v>#REF!</v>
      </c>
      <c r="AR72" s="64" t="e">
        <f>-'[1]Enköp förbättra flöden op'!N22</f>
        <v>#REF!</v>
      </c>
      <c r="AS72" s="64" t="e">
        <f>-'[1]Enköp förbättra flöden op'!O22</f>
        <v>#REF!</v>
      </c>
      <c r="AT72" s="64" t="e">
        <f>-'[1]Enköp förbättra flöden op'!P22</f>
        <v>#REF!</v>
      </c>
      <c r="AU72" s="64" t="e">
        <f>-'[1]Enköp förbättra flöden op'!Q22</f>
        <v>#REF!</v>
      </c>
      <c r="AV72" s="64" t="e">
        <f>-'[1]Enköp förbättra flöden op'!R22</f>
        <v>#REF!</v>
      </c>
      <c r="AW72" s="64" t="e">
        <f>-'[1]Enköp förbättra flöden op'!S22</f>
        <v>#REF!</v>
      </c>
      <c r="AX72" s="65"/>
      <c r="AY72" s="65"/>
      <c r="AZ72" s="65"/>
      <c r="BA72" s="65"/>
      <c r="BB72" s="65"/>
      <c r="BC72" s="65"/>
      <c r="BD72" s="65"/>
      <c r="BE72" s="65"/>
      <c r="BF72" s="65"/>
      <c r="BG72" s="65"/>
      <c r="BH72" s="65"/>
      <c r="BI72" s="210"/>
      <c r="BJ72" s="210"/>
    </row>
    <row r="73" spans="1:70" s="211" customFormat="1" ht="16" outlineLevel="1" x14ac:dyDescent="0.2">
      <c r="A73" s="359">
        <v>34</v>
      </c>
      <c r="B73" s="168" t="s">
        <v>305</v>
      </c>
      <c r="C73" s="168" t="s">
        <v>325</v>
      </c>
      <c r="D73" s="177" t="s">
        <v>312</v>
      </c>
      <c r="E73" s="168"/>
      <c r="F73" s="168">
        <v>2</v>
      </c>
      <c r="G73" s="168" t="s">
        <v>326</v>
      </c>
      <c r="H73" s="168" t="s">
        <v>199</v>
      </c>
      <c r="I73" s="168" t="s">
        <v>200</v>
      </c>
      <c r="J73" s="147"/>
      <c r="K73" s="108"/>
      <c r="L73" s="108"/>
      <c r="M73" s="108">
        <v>2000</v>
      </c>
      <c r="N73" s="108"/>
      <c r="O73" s="172">
        <f t="shared" si="54"/>
        <v>2000</v>
      </c>
      <c r="P73" s="108"/>
      <c r="Q73" s="108"/>
      <c r="R73" s="108"/>
      <c r="S73" s="108"/>
      <c r="T73" s="108"/>
      <c r="U73" s="108"/>
      <c r="V73" s="108"/>
      <c r="W73" s="146">
        <f t="shared" si="55"/>
        <v>2000</v>
      </c>
      <c r="X73" s="174">
        <f t="shared" si="56"/>
        <v>2000</v>
      </c>
      <c r="Y73" s="175"/>
      <c r="Z73" s="175" t="s">
        <v>225</v>
      </c>
      <c r="AA73" s="147"/>
      <c r="AB73" s="62"/>
      <c r="AC73" s="63"/>
      <c r="AD73" s="63"/>
      <c r="AE73" s="63" t="e">
        <f>'[1]Enköp utökning kyla'!L8</f>
        <v>#REF!</v>
      </c>
      <c r="AF73" s="63" t="e">
        <f>'[1]Enköp utökning kyla'!M8</f>
        <v>#REF!</v>
      </c>
      <c r="AG73" s="63" t="e">
        <f>'[1]Enköp utökning kyla'!N8</f>
        <v>#REF!</v>
      </c>
      <c r="AH73" s="63" t="e">
        <f>'[1]Enköp utökning kyla'!O8</f>
        <v>#REF!</v>
      </c>
      <c r="AI73" s="63" t="e">
        <f>'[1]Enköp utökning kyla'!P8</f>
        <v>#REF!</v>
      </c>
      <c r="AJ73" s="63" t="e">
        <f>'[1]Enköp utökning kyla'!Q8</f>
        <v>#REF!</v>
      </c>
      <c r="AK73" s="63" t="e">
        <f>'[1]Enköp utökning kyla'!R8</f>
        <v>#REF!</v>
      </c>
      <c r="AL73" s="63" t="e">
        <f>'[1]Enköp utökning kyla'!S8</f>
        <v>#REF!</v>
      </c>
      <c r="AM73" s="62"/>
      <c r="AN73" s="64"/>
      <c r="AO73" s="64"/>
      <c r="AP73" s="64" t="e">
        <f>-'[1]Enköp utökning kyla'!L22</f>
        <v>#REF!</v>
      </c>
      <c r="AQ73" s="64" t="e">
        <f>-'[1]Enköp utökning kyla'!M22</f>
        <v>#REF!</v>
      </c>
      <c r="AR73" s="64" t="e">
        <f>-'[1]Enköp utökning kyla'!N22</f>
        <v>#REF!</v>
      </c>
      <c r="AS73" s="64" t="e">
        <f>-'[1]Enköp utökning kyla'!O22</f>
        <v>#REF!</v>
      </c>
      <c r="AT73" s="64" t="e">
        <f>-'[1]Enköp utökning kyla'!P22</f>
        <v>#REF!</v>
      </c>
      <c r="AU73" s="64" t="e">
        <f>-'[1]Enköp utökning kyla'!Q22</f>
        <v>#REF!</v>
      </c>
      <c r="AV73" s="64" t="e">
        <f>-'[1]Enköp utökning kyla'!R22</f>
        <v>#REF!</v>
      </c>
      <c r="AW73" s="64" t="e">
        <f>-'[1]Enköp utökning kyla'!S22</f>
        <v>#REF!</v>
      </c>
      <c r="AX73" s="65"/>
      <c r="AY73" s="65"/>
      <c r="AZ73" s="65"/>
      <c r="BA73" s="65"/>
      <c r="BB73" s="65"/>
      <c r="BC73" s="65"/>
      <c r="BD73" s="65"/>
      <c r="BE73" s="65"/>
      <c r="BF73" s="65"/>
      <c r="BG73" s="65"/>
      <c r="BH73" s="65"/>
      <c r="BI73" s="210"/>
      <c r="BJ73" s="210"/>
    </row>
    <row r="74" spans="1:70" s="211" customFormat="1" ht="32" outlineLevel="1" x14ac:dyDescent="0.2">
      <c r="A74" s="359">
        <v>35</v>
      </c>
      <c r="B74" s="168" t="s">
        <v>305</v>
      </c>
      <c r="C74" s="168" t="s">
        <v>327</v>
      </c>
      <c r="D74" s="177" t="s">
        <v>312</v>
      </c>
      <c r="E74" s="168"/>
      <c r="F74" s="168">
        <v>2</v>
      </c>
      <c r="G74" s="168" t="s">
        <v>328</v>
      </c>
      <c r="H74" s="168" t="s">
        <v>199</v>
      </c>
      <c r="I74" s="168" t="s">
        <v>200</v>
      </c>
      <c r="J74" s="147"/>
      <c r="K74" s="189"/>
      <c r="L74" s="189"/>
      <c r="M74" s="108">
        <v>500</v>
      </c>
      <c r="N74" s="108"/>
      <c r="O74" s="172">
        <f t="shared" si="54"/>
        <v>500</v>
      </c>
      <c r="P74" s="108"/>
      <c r="Q74" s="108"/>
      <c r="R74" s="108"/>
      <c r="S74" s="108"/>
      <c r="T74" s="108"/>
      <c r="U74" s="108"/>
      <c r="V74" s="108"/>
      <c r="W74" s="146">
        <f t="shared" si="55"/>
        <v>500</v>
      </c>
      <c r="X74" s="174">
        <f t="shared" si="56"/>
        <v>500</v>
      </c>
      <c r="Y74" s="175"/>
      <c r="Z74" s="175" t="s">
        <v>225</v>
      </c>
      <c r="AA74" s="147"/>
      <c r="AB74" s="62"/>
      <c r="AC74" s="63"/>
      <c r="AD74" s="63"/>
      <c r="AE74" s="63" t="e">
        <f>'[1]Enköp behov adm lok kirurg'!L8</f>
        <v>#REF!</v>
      </c>
      <c r="AF74" s="63" t="e">
        <f>'[1]Enköp behov adm lok kirurg'!M8</f>
        <v>#REF!</v>
      </c>
      <c r="AG74" s="63" t="e">
        <f>'[1]Enköp behov adm lok kirurg'!N8</f>
        <v>#REF!</v>
      </c>
      <c r="AH74" s="63" t="e">
        <f>'[1]Enköp behov adm lok kirurg'!O8</f>
        <v>#REF!</v>
      </c>
      <c r="AI74" s="63" t="e">
        <f>'[1]Enköp behov adm lok kirurg'!P8</f>
        <v>#REF!</v>
      </c>
      <c r="AJ74" s="63" t="e">
        <f>'[1]Enköp behov adm lok kirurg'!Q8</f>
        <v>#REF!</v>
      </c>
      <c r="AK74" s="63" t="e">
        <f>'[1]Enköp behov adm lok kirurg'!R8</f>
        <v>#REF!</v>
      </c>
      <c r="AL74" s="63" t="e">
        <f>'[1]Enköp behov adm lok kirurg'!S8</f>
        <v>#REF!</v>
      </c>
      <c r="AM74" s="62"/>
      <c r="AN74" s="64"/>
      <c r="AO74" s="64"/>
      <c r="AP74" s="64" t="e">
        <f>-'[1]Enköp behov adm lok kirurg'!L22</f>
        <v>#REF!</v>
      </c>
      <c r="AQ74" s="64" t="e">
        <f>-'[1]Enköp behov adm lok kirurg'!M22</f>
        <v>#REF!</v>
      </c>
      <c r="AR74" s="64" t="e">
        <f>-'[1]Enköp behov adm lok kirurg'!N22</f>
        <v>#REF!</v>
      </c>
      <c r="AS74" s="64" t="e">
        <f>-'[1]Enköp behov adm lok kirurg'!O22</f>
        <v>#REF!</v>
      </c>
      <c r="AT74" s="64" t="e">
        <f>-'[1]Enköp behov adm lok kirurg'!P22</f>
        <v>#REF!</v>
      </c>
      <c r="AU74" s="64" t="e">
        <f>-'[1]Enköp behov adm lok kirurg'!Q22</f>
        <v>#REF!</v>
      </c>
      <c r="AV74" s="64" t="e">
        <f>-'[1]Enköp behov adm lok kirurg'!R22</f>
        <v>#REF!</v>
      </c>
      <c r="AW74" s="64" t="e">
        <f>-'[1]Enköp behov adm lok kirurg'!S22</f>
        <v>#REF!</v>
      </c>
      <c r="AX74" s="65"/>
      <c r="AY74" s="65"/>
      <c r="AZ74" s="65"/>
      <c r="BA74" s="65"/>
      <c r="BB74" s="65"/>
      <c r="BC74" s="65"/>
      <c r="BD74" s="65"/>
      <c r="BE74" s="65"/>
      <c r="BF74" s="65"/>
      <c r="BG74" s="65"/>
      <c r="BH74" s="65"/>
      <c r="BI74" s="210"/>
      <c r="BJ74" s="210"/>
    </row>
    <row r="75" spans="1:70" s="211" customFormat="1" ht="38" customHeight="1" outlineLevel="1" x14ac:dyDescent="0.2">
      <c r="A75" s="359">
        <v>37</v>
      </c>
      <c r="B75" s="168" t="s">
        <v>305</v>
      </c>
      <c r="C75" s="168" t="s">
        <v>332</v>
      </c>
      <c r="D75" s="177" t="s">
        <v>312</v>
      </c>
      <c r="E75" s="168" t="s">
        <v>333</v>
      </c>
      <c r="F75" s="168">
        <v>2</v>
      </c>
      <c r="G75" s="168" t="s">
        <v>334</v>
      </c>
      <c r="H75" s="168" t="s">
        <v>199</v>
      </c>
      <c r="I75" s="168" t="s">
        <v>200</v>
      </c>
      <c r="J75" s="147"/>
      <c r="K75" s="108"/>
      <c r="L75" s="108"/>
      <c r="M75" s="108"/>
      <c r="N75" s="108"/>
      <c r="O75" s="172">
        <f t="shared" si="54"/>
        <v>0</v>
      </c>
      <c r="P75" s="108"/>
      <c r="Q75" s="108">
        <v>500</v>
      </c>
      <c r="R75" s="108"/>
      <c r="S75" s="108"/>
      <c r="T75" s="108"/>
      <c r="U75" s="108"/>
      <c r="V75" s="108"/>
      <c r="W75" s="146">
        <f t="shared" si="55"/>
        <v>500</v>
      </c>
      <c r="X75" s="174">
        <f t="shared" si="56"/>
        <v>500</v>
      </c>
      <c r="Y75" s="175"/>
      <c r="Z75" s="175" t="s">
        <v>225</v>
      </c>
      <c r="AA75" s="147" t="s">
        <v>335</v>
      </c>
      <c r="AB75" s="62"/>
      <c r="AC75" s="63"/>
      <c r="AD75" s="63"/>
      <c r="AE75" s="63"/>
      <c r="AF75" s="63"/>
      <c r="AG75" s="63"/>
      <c r="AH75" s="63" t="e">
        <f>'[1]Enköp större väntrum radiologi'!L8</f>
        <v>#REF!</v>
      </c>
      <c r="AI75" s="63" t="e">
        <f>'[1]Enköp större väntrum radiologi'!M8</f>
        <v>#REF!</v>
      </c>
      <c r="AJ75" s="63" t="e">
        <f>'[1]Enköp större väntrum radiologi'!N8</f>
        <v>#REF!</v>
      </c>
      <c r="AK75" s="63" t="e">
        <f>'[1]Enköp större väntrum radiologi'!O8</f>
        <v>#REF!</v>
      </c>
      <c r="AL75" s="63" t="e">
        <f>'[1]Enköp större väntrum radiologi'!P8</f>
        <v>#REF!</v>
      </c>
      <c r="AM75" s="62"/>
      <c r="AN75" s="64"/>
      <c r="AO75" s="64"/>
      <c r="AP75" s="64"/>
      <c r="AQ75" s="64"/>
      <c r="AR75" s="64"/>
      <c r="AS75" s="64" t="e">
        <f>-'[1]Enköp större väntrum radiologi'!L22</f>
        <v>#REF!</v>
      </c>
      <c r="AT75" s="64" t="e">
        <f>-'[1]Enköp större väntrum radiologi'!M22</f>
        <v>#REF!</v>
      </c>
      <c r="AU75" s="64" t="e">
        <f>-'[1]Enköp större väntrum radiologi'!N22</f>
        <v>#REF!</v>
      </c>
      <c r="AV75" s="64" t="e">
        <f>-'[1]Enköp större väntrum radiologi'!O22</f>
        <v>#REF!</v>
      </c>
      <c r="AW75" s="64" t="e">
        <f>-'[1]Enköp större väntrum radiologi'!P22</f>
        <v>#REF!</v>
      </c>
      <c r="AX75" s="65"/>
      <c r="AY75" s="65"/>
      <c r="AZ75" s="65"/>
      <c r="BA75" s="65"/>
      <c r="BB75" s="65"/>
      <c r="BC75" s="65"/>
      <c r="BD75" s="65"/>
      <c r="BE75" s="65"/>
      <c r="BF75" s="65"/>
      <c r="BG75" s="65"/>
      <c r="BH75" s="65"/>
      <c r="BI75" s="210"/>
      <c r="BJ75" s="210"/>
    </row>
    <row r="76" spans="1:70" outlineLevel="1" x14ac:dyDescent="0.15">
      <c r="A76" s="358"/>
    </row>
    <row r="77" spans="1:70" s="102" customFormat="1" ht="32" x14ac:dyDescent="0.2">
      <c r="A77" s="357"/>
      <c r="B77" s="213" t="s">
        <v>194</v>
      </c>
      <c r="C77" s="206" t="s">
        <v>336</v>
      </c>
      <c r="D77" s="205"/>
      <c r="E77" s="206"/>
      <c r="F77" s="206"/>
      <c r="G77" s="206"/>
      <c r="H77" s="206"/>
      <c r="I77" s="206"/>
      <c r="J77" s="209">
        <f t="shared" ref="J77:AO77" si="57">SUM(J68:J75)</f>
        <v>0</v>
      </c>
      <c r="K77" s="209">
        <f t="shared" si="57"/>
        <v>2000</v>
      </c>
      <c r="L77" s="209">
        <f t="shared" si="57"/>
        <v>21000</v>
      </c>
      <c r="M77" s="209">
        <f t="shared" si="57"/>
        <v>5500</v>
      </c>
      <c r="N77" s="209">
        <f t="shared" si="57"/>
        <v>0</v>
      </c>
      <c r="O77" s="209">
        <f t="shared" si="57"/>
        <v>26500</v>
      </c>
      <c r="P77" s="209">
        <f t="shared" si="57"/>
        <v>0</v>
      </c>
      <c r="Q77" s="209">
        <f t="shared" si="57"/>
        <v>5500</v>
      </c>
      <c r="R77" s="209">
        <f t="shared" si="57"/>
        <v>25000</v>
      </c>
      <c r="S77" s="209">
        <f t="shared" si="57"/>
        <v>12500</v>
      </c>
      <c r="T77" s="209">
        <f t="shared" si="57"/>
        <v>0</v>
      </c>
      <c r="U77" s="209">
        <f t="shared" si="57"/>
        <v>0</v>
      </c>
      <c r="V77" s="209">
        <f t="shared" si="57"/>
        <v>0</v>
      </c>
      <c r="W77" s="209">
        <f t="shared" si="57"/>
        <v>69500</v>
      </c>
      <c r="X77" s="209">
        <f t="shared" si="57"/>
        <v>71500</v>
      </c>
      <c r="Y77" s="209">
        <f t="shared" si="57"/>
        <v>0</v>
      </c>
      <c r="Z77" s="209">
        <f t="shared" si="57"/>
        <v>0</v>
      </c>
      <c r="AA77" s="209">
        <f t="shared" si="57"/>
        <v>0</v>
      </c>
      <c r="AB77" s="209">
        <f t="shared" si="57"/>
        <v>0</v>
      </c>
      <c r="AC77" s="209">
        <f t="shared" si="57"/>
        <v>0</v>
      </c>
      <c r="AD77" s="209" t="e">
        <f t="shared" si="57"/>
        <v>#REF!</v>
      </c>
      <c r="AE77" s="209" t="e">
        <f t="shared" si="57"/>
        <v>#REF!</v>
      </c>
      <c r="AF77" s="209" t="e">
        <f t="shared" si="57"/>
        <v>#REF!</v>
      </c>
      <c r="AG77" s="209" t="e">
        <f t="shared" si="57"/>
        <v>#REF!</v>
      </c>
      <c r="AH77" s="209" t="e">
        <f t="shared" si="57"/>
        <v>#REF!</v>
      </c>
      <c r="AI77" s="209" t="e">
        <f t="shared" si="57"/>
        <v>#REF!</v>
      </c>
      <c r="AJ77" s="209" t="e">
        <f t="shared" si="57"/>
        <v>#REF!</v>
      </c>
      <c r="AK77" s="209" t="e">
        <f t="shared" si="57"/>
        <v>#REF!</v>
      </c>
      <c r="AL77" s="209" t="e">
        <f t="shared" si="57"/>
        <v>#REF!</v>
      </c>
      <c r="AM77" s="209">
        <f t="shared" si="57"/>
        <v>0</v>
      </c>
      <c r="AN77" s="209">
        <f t="shared" si="57"/>
        <v>0</v>
      </c>
      <c r="AO77" s="209" t="e">
        <f t="shared" si="57"/>
        <v>#REF!</v>
      </c>
      <c r="AP77" s="209" t="e">
        <f t="shared" ref="AP77:BH77" si="58">SUM(AP68:AP75)</f>
        <v>#REF!</v>
      </c>
      <c r="AQ77" s="209" t="e">
        <f t="shared" si="58"/>
        <v>#REF!</v>
      </c>
      <c r="AR77" s="209" t="e">
        <f t="shared" si="58"/>
        <v>#REF!</v>
      </c>
      <c r="AS77" s="209" t="e">
        <f t="shared" si="58"/>
        <v>#REF!</v>
      </c>
      <c r="AT77" s="209" t="e">
        <f t="shared" si="58"/>
        <v>#REF!</v>
      </c>
      <c r="AU77" s="209" t="e">
        <f t="shared" si="58"/>
        <v>#REF!</v>
      </c>
      <c r="AV77" s="209" t="e">
        <f t="shared" si="58"/>
        <v>#REF!</v>
      </c>
      <c r="AW77" s="209" t="e">
        <f t="shared" si="58"/>
        <v>#REF!</v>
      </c>
      <c r="AX77" s="209">
        <f t="shared" si="58"/>
        <v>0</v>
      </c>
      <c r="AY77" s="209">
        <f t="shared" si="58"/>
        <v>0</v>
      </c>
      <c r="AZ77" s="209">
        <f t="shared" si="58"/>
        <v>0</v>
      </c>
      <c r="BA77" s="209">
        <f t="shared" si="58"/>
        <v>0</v>
      </c>
      <c r="BB77" s="209">
        <f t="shared" si="58"/>
        <v>0</v>
      </c>
      <c r="BC77" s="209">
        <f t="shared" si="58"/>
        <v>0</v>
      </c>
      <c r="BD77" s="209">
        <f t="shared" si="58"/>
        <v>0</v>
      </c>
      <c r="BE77" s="209">
        <f t="shared" si="58"/>
        <v>0</v>
      </c>
      <c r="BF77" s="209">
        <f t="shared" si="58"/>
        <v>0</v>
      </c>
      <c r="BG77" s="209">
        <f t="shared" si="58"/>
        <v>0</v>
      </c>
      <c r="BH77" s="209">
        <f t="shared" si="58"/>
        <v>0</v>
      </c>
      <c r="BI77" s="4"/>
      <c r="BJ77" s="4"/>
    </row>
    <row r="78" spans="1:70" s="102" customFormat="1" ht="16" x14ac:dyDescent="0.2">
      <c r="A78" s="357"/>
      <c r="B78" s="214"/>
      <c r="C78" s="215"/>
      <c r="D78" s="216"/>
      <c r="E78" s="170"/>
      <c r="F78" s="170"/>
      <c r="G78" s="170"/>
      <c r="H78" s="217"/>
      <c r="I78" s="217"/>
      <c r="J78" s="218"/>
      <c r="K78" s="219"/>
      <c r="L78" s="219"/>
      <c r="M78" s="219"/>
      <c r="N78" s="219"/>
      <c r="O78" s="219"/>
      <c r="P78" s="219"/>
      <c r="Q78" s="219"/>
      <c r="R78" s="219"/>
      <c r="S78" s="219"/>
      <c r="T78" s="219"/>
      <c r="U78" s="219"/>
      <c r="V78" s="219"/>
      <c r="W78" s="220"/>
      <c r="X78" s="220"/>
      <c r="Y78" s="221"/>
      <c r="Z78" s="221"/>
      <c r="AA78" s="22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4"/>
      <c r="BJ78" s="4"/>
    </row>
    <row r="79" spans="1:70" s="102" customFormat="1" ht="16" x14ac:dyDescent="0.2">
      <c r="A79" s="357"/>
      <c r="B79" s="222" t="s">
        <v>194</v>
      </c>
      <c r="C79" s="223" t="s">
        <v>337</v>
      </c>
      <c r="D79" s="224"/>
      <c r="E79" s="118"/>
      <c r="F79" s="118"/>
      <c r="G79" s="118"/>
      <c r="H79" s="118"/>
      <c r="I79" s="118"/>
      <c r="J79" s="225"/>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4"/>
      <c r="BJ79" s="4"/>
    </row>
    <row r="80" spans="1:70" s="67" customFormat="1" ht="58.5" customHeight="1" outlineLevel="1" x14ac:dyDescent="0.2">
      <c r="A80" s="357">
        <v>38</v>
      </c>
      <c r="B80" s="168" t="s">
        <v>127</v>
      </c>
      <c r="C80" s="168" t="s">
        <v>338</v>
      </c>
      <c r="D80" s="226" t="s">
        <v>312</v>
      </c>
      <c r="E80" s="168" t="s">
        <v>339</v>
      </c>
      <c r="F80" s="168">
        <v>1</v>
      </c>
      <c r="G80" s="168"/>
      <c r="H80" s="170" t="s">
        <v>199</v>
      </c>
      <c r="I80" s="170" t="s">
        <v>200</v>
      </c>
      <c r="J80" s="175"/>
      <c r="K80" s="108"/>
      <c r="L80" s="108">
        <v>2000</v>
      </c>
      <c r="M80" s="174"/>
      <c r="N80" s="174"/>
      <c r="O80" s="172">
        <f>L80+M80+N80</f>
        <v>2000</v>
      </c>
      <c r="P80" s="60"/>
      <c r="Q80" s="60"/>
      <c r="R80" s="60"/>
      <c r="S80" s="60"/>
      <c r="T80" s="60"/>
      <c r="U80" s="60"/>
      <c r="V80" s="60"/>
      <c r="W80" s="146">
        <f>O80+P80+Q80+R80+S80+T80+U80+V80</f>
        <v>2000</v>
      </c>
      <c r="X80" s="174">
        <f>K80+L80+M80+N80+P80+Q80+R80+S80+T80+U80+V80</f>
        <v>2000</v>
      </c>
      <c r="Y80" s="175"/>
      <c r="Z80" s="175" t="s">
        <v>225</v>
      </c>
      <c r="AA80" s="175" t="s">
        <v>340</v>
      </c>
      <c r="AB80" s="64"/>
      <c r="AC80" s="63"/>
      <c r="AD80" s="63" t="e">
        <f>'[1]KTF reglerplats 10 bussar'!L8</f>
        <v>#REF!</v>
      </c>
      <c r="AE80" s="63" t="e">
        <f>'[1]KTF reglerplats 10 bussar'!M8</f>
        <v>#REF!</v>
      </c>
      <c r="AF80" s="63" t="e">
        <f>'[1]KTF reglerplats 10 bussar'!N8</f>
        <v>#REF!</v>
      </c>
      <c r="AG80" s="63" t="e">
        <f>'[1]KTF reglerplats 10 bussar'!O8</f>
        <v>#REF!</v>
      </c>
      <c r="AH80" s="63" t="e">
        <f>'[1]KTF reglerplats 10 bussar'!P8</f>
        <v>#REF!</v>
      </c>
      <c r="AI80" s="63" t="e">
        <f>'[1]KTF reglerplats 10 bussar'!Q8</f>
        <v>#REF!</v>
      </c>
      <c r="AJ80" s="63" t="e">
        <f>'[1]KTF reglerplats 10 bussar'!R8</f>
        <v>#REF!</v>
      </c>
      <c r="AK80" s="63" t="e">
        <f>'[1]KTF reglerplats 10 bussar'!S8</f>
        <v>#REF!</v>
      </c>
      <c r="AL80" s="63" t="e">
        <f>'[1]KTF reglerplats 10 bussar'!T8</f>
        <v>#REF!</v>
      </c>
      <c r="AM80" s="64"/>
      <c r="AN80" s="64"/>
      <c r="AO80" s="64" t="e">
        <f>-'[1]KTF reglerplats 10 bussar'!L22</f>
        <v>#REF!</v>
      </c>
      <c r="AP80" s="64" t="e">
        <f>-'[1]KTF reglerplats 10 bussar'!M22</f>
        <v>#REF!</v>
      </c>
      <c r="AQ80" s="64" t="e">
        <f>-'[1]KTF reglerplats 10 bussar'!N22</f>
        <v>#REF!</v>
      </c>
      <c r="AR80" s="64" t="e">
        <f>-'[1]KTF reglerplats 10 bussar'!O22</f>
        <v>#REF!</v>
      </c>
      <c r="AS80" s="64" t="e">
        <f>-'[1]KTF reglerplats 10 bussar'!P22</f>
        <v>#REF!</v>
      </c>
      <c r="AT80" s="64" t="e">
        <f>-'[1]KTF reglerplats 10 bussar'!Q22</f>
        <v>#REF!</v>
      </c>
      <c r="AU80" s="64" t="e">
        <f>-'[1]KTF reglerplats 10 bussar'!R22</f>
        <v>#REF!</v>
      </c>
      <c r="AV80" s="64" t="e">
        <f>-'[1]KTF reglerplats 10 bussar'!S22</f>
        <v>#REF!</v>
      </c>
      <c r="AW80" s="64" t="e">
        <f>-'[1]KTF reglerplats 10 bussar'!T22</f>
        <v>#REF!</v>
      </c>
      <c r="AX80" s="65"/>
      <c r="AY80" s="65"/>
      <c r="AZ80" s="65"/>
      <c r="BA80" s="65"/>
      <c r="BB80" s="65"/>
      <c r="BC80" s="65"/>
      <c r="BD80" s="65"/>
      <c r="BE80" s="65"/>
      <c r="BF80" s="65"/>
      <c r="BG80" s="65"/>
      <c r="BH80" s="65"/>
      <c r="BI80" s="3"/>
      <c r="BJ80" s="3"/>
    </row>
    <row r="81" spans="1:62" s="67" customFormat="1" ht="48" customHeight="1" outlineLevel="1" x14ac:dyDescent="0.2">
      <c r="A81" s="357">
        <v>44</v>
      </c>
      <c r="B81" s="168" t="s">
        <v>127</v>
      </c>
      <c r="C81" s="168" t="s">
        <v>355</v>
      </c>
      <c r="D81" s="177">
        <v>8040456</v>
      </c>
      <c r="E81" s="168" t="s">
        <v>356</v>
      </c>
      <c r="F81" s="168">
        <v>0</v>
      </c>
      <c r="G81" s="168" t="s">
        <v>357</v>
      </c>
      <c r="H81" s="170" t="s">
        <v>199</v>
      </c>
      <c r="I81" s="168" t="s">
        <v>102</v>
      </c>
      <c r="J81" s="147">
        <v>850000</v>
      </c>
      <c r="K81" s="60">
        <f>2820+1800+14000+13000+35000+250000-150000</f>
        <v>166620</v>
      </c>
      <c r="L81" s="60">
        <f>250000+50000-25000</f>
        <v>275000</v>
      </c>
      <c r="M81" s="60">
        <f>283380+100000-25000</f>
        <v>358380</v>
      </c>
      <c r="N81" s="60">
        <v>50000</v>
      </c>
      <c r="O81" s="172">
        <f>L81+M81+N81</f>
        <v>683380</v>
      </c>
      <c r="P81" s="60"/>
      <c r="Q81" s="60"/>
      <c r="R81" s="60"/>
      <c r="S81" s="60"/>
      <c r="T81" s="60"/>
      <c r="U81" s="60"/>
      <c r="V81" s="60"/>
      <c r="W81" s="146">
        <f>O81+P81+Q81+R81+S81+T81+U81+V81</f>
        <v>683380</v>
      </c>
      <c r="X81" s="174">
        <f>K81+L81+M81+N81+P81+Q81+R81+S81+T81+U81+V81</f>
        <v>850000</v>
      </c>
      <c r="Y81" s="175" t="s">
        <v>358</v>
      </c>
      <c r="Z81" s="175" t="s">
        <v>359</v>
      </c>
      <c r="AA81" s="147" t="s">
        <v>360</v>
      </c>
      <c r="AB81" s="64"/>
      <c r="AC81" s="63"/>
      <c r="AD81" s="63"/>
      <c r="AE81" s="63" t="e">
        <f>[1]Stadsbussdepå!L8</f>
        <v>#REF!</v>
      </c>
      <c r="AF81" s="63" t="e">
        <f>[1]Stadsbussdepå!M8</f>
        <v>#REF!</v>
      </c>
      <c r="AG81" s="63" t="e">
        <f>[1]Stadsbussdepå!N8</f>
        <v>#REF!</v>
      </c>
      <c r="AH81" s="63" t="e">
        <f>[1]Stadsbussdepå!O8</f>
        <v>#REF!</v>
      </c>
      <c r="AI81" s="63" t="e">
        <f>[1]Stadsbussdepå!P8</f>
        <v>#REF!</v>
      </c>
      <c r="AJ81" s="63" t="e">
        <f>[1]Stadsbussdepå!Q8</f>
        <v>#REF!</v>
      </c>
      <c r="AK81" s="63" t="e">
        <f>[1]Stadsbussdepå!R8</f>
        <v>#REF!</v>
      </c>
      <c r="AL81" s="63" t="e">
        <f>[1]Stadsbussdepå!S8</f>
        <v>#REF!</v>
      </c>
      <c r="AM81" s="64"/>
      <c r="AN81" s="64"/>
      <c r="AO81" s="64"/>
      <c r="AP81" s="64" t="e">
        <f>-[1]Stadsbussdepå!L22</f>
        <v>#REF!</v>
      </c>
      <c r="AQ81" s="64" t="e">
        <f>-[1]Stadsbussdepå!M22</f>
        <v>#REF!</v>
      </c>
      <c r="AR81" s="64" t="e">
        <f>-[1]Stadsbussdepå!N22</f>
        <v>#REF!</v>
      </c>
      <c r="AS81" s="64" t="e">
        <f>-[1]Stadsbussdepå!O22</f>
        <v>#REF!</v>
      </c>
      <c r="AT81" s="64" t="e">
        <f>-[1]Stadsbussdepå!P22</f>
        <v>#REF!</v>
      </c>
      <c r="AU81" s="64" t="e">
        <f>-[1]Stadsbussdepå!Q22</f>
        <v>#REF!</v>
      </c>
      <c r="AV81" s="64" t="e">
        <f>-[1]Stadsbussdepå!R22</f>
        <v>#REF!</v>
      </c>
      <c r="AW81" s="64" t="e">
        <f>-[1]Stadsbussdepå!S22</f>
        <v>#REF!</v>
      </c>
      <c r="AX81" s="65"/>
      <c r="AY81" s="65"/>
      <c r="AZ81" s="65"/>
      <c r="BA81" s="65"/>
      <c r="BB81" s="65"/>
      <c r="BC81" s="65"/>
      <c r="BD81" s="65"/>
      <c r="BE81" s="65"/>
      <c r="BF81" s="65"/>
      <c r="BG81" s="65"/>
      <c r="BH81" s="65"/>
      <c r="BI81" s="3"/>
      <c r="BJ81" s="3"/>
    </row>
    <row r="82" spans="1:62" s="67" customFormat="1" ht="16" outlineLevel="1" x14ac:dyDescent="0.2">
      <c r="A82" s="357"/>
      <c r="B82" s="229" t="s">
        <v>194</v>
      </c>
      <c r="C82" s="168"/>
      <c r="D82" s="226"/>
      <c r="E82" s="168"/>
      <c r="F82" s="168"/>
      <c r="G82" s="168"/>
      <c r="H82" s="170"/>
      <c r="I82" s="170"/>
      <c r="J82" s="175"/>
      <c r="K82" s="174"/>
      <c r="L82" s="174"/>
      <c r="M82" s="174"/>
      <c r="N82" s="174"/>
      <c r="O82" s="172"/>
      <c r="P82" s="60"/>
      <c r="Q82" s="60"/>
      <c r="R82" s="60"/>
      <c r="S82" s="60"/>
      <c r="T82" s="60"/>
      <c r="U82" s="60"/>
      <c r="V82" s="60"/>
      <c r="W82" s="146">
        <f>O82+P82+Q82+R82+S82+T82+U82+V82</f>
        <v>0</v>
      </c>
      <c r="X82" s="174">
        <f>K82+L82+M82+N82+P82+Q82+R82+S82+T82+U82+V82</f>
        <v>0</v>
      </c>
      <c r="Y82" s="175"/>
      <c r="Z82" s="175"/>
      <c r="AA82" s="60"/>
      <c r="AB82" s="64"/>
      <c r="AC82" s="63"/>
      <c r="AD82" s="63"/>
      <c r="AE82" s="63"/>
      <c r="AF82" s="63"/>
      <c r="AG82" s="63"/>
      <c r="AH82" s="63"/>
      <c r="AI82" s="63"/>
      <c r="AJ82" s="63"/>
      <c r="AK82" s="63"/>
      <c r="AL82" s="63"/>
      <c r="AM82" s="64"/>
      <c r="AN82" s="64"/>
      <c r="AO82" s="64"/>
      <c r="AP82" s="64"/>
      <c r="AQ82" s="64"/>
      <c r="AR82" s="64"/>
      <c r="AS82" s="64"/>
      <c r="AT82" s="64"/>
      <c r="AU82" s="64"/>
      <c r="AV82" s="64"/>
      <c r="AW82" s="64"/>
      <c r="AX82" s="65"/>
      <c r="AY82" s="65"/>
      <c r="AZ82" s="65"/>
      <c r="BA82" s="65"/>
      <c r="BB82" s="65"/>
      <c r="BC82" s="65"/>
      <c r="BD82" s="65"/>
      <c r="BE82" s="65"/>
      <c r="BF82" s="65"/>
      <c r="BG82" s="65"/>
      <c r="BH82" s="65"/>
      <c r="BI82" s="3"/>
      <c r="BJ82" s="3"/>
    </row>
    <row r="83" spans="1:62" s="102" customFormat="1" ht="16" x14ac:dyDescent="0.2">
      <c r="A83" s="357"/>
      <c r="B83" s="230" t="s">
        <v>194</v>
      </c>
      <c r="C83" s="118" t="s">
        <v>361</v>
      </c>
      <c r="D83" s="224"/>
      <c r="E83" s="118"/>
      <c r="F83" s="118"/>
      <c r="G83" s="118"/>
      <c r="H83" s="118"/>
      <c r="I83" s="118"/>
      <c r="J83" s="152">
        <f t="shared" ref="J83:X83" si="59">SUM(J80:J81)</f>
        <v>850000</v>
      </c>
      <c r="K83" s="152">
        <f t="shared" si="59"/>
        <v>166620</v>
      </c>
      <c r="L83" s="152">
        <f t="shared" si="59"/>
        <v>277000</v>
      </c>
      <c r="M83" s="152">
        <f t="shared" si="59"/>
        <v>358380</v>
      </c>
      <c r="N83" s="152">
        <f t="shared" si="59"/>
        <v>50000</v>
      </c>
      <c r="O83" s="152">
        <f t="shared" si="59"/>
        <v>685380</v>
      </c>
      <c r="P83" s="152">
        <f t="shared" si="59"/>
        <v>0</v>
      </c>
      <c r="Q83" s="152">
        <f t="shared" si="59"/>
        <v>0</v>
      </c>
      <c r="R83" s="152">
        <f t="shared" si="59"/>
        <v>0</v>
      </c>
      <c r="S83" s="152">
        <f t="shared" si="59"/>
        <v>0</v>
      </c>
      <c r="T83" s="152">
        <f t="shared" si="59"/>
        <v>0</v>
      </c>
      <c r="U83" s="152">
        <f t="shared" si="59"/>
        <v>0</v>
      </c>
      <c r="V83" s="152">
        <f t="shared" si="59"/>
        <v>0</v>
      </c>
      <c r="W83" s="152">
        <f t="shared" si="59"/>
        <v>685380</v>
      </c>
      <c r="X83" s="152">
        <f t="shared" si="59"/>
        <v>852000</v>
      </c>
      <c r="Y83" s="152"/>
      <c r="Z83" s="152"/>
      <c r="AA83" s="152"/>
      <c r="AB83" s="152">
        <f t="shared" ref="AB83:BH83" si="60">SUM(AB80:AB81)</f>
        <v>0</v>
      </c>
      <c r="AC83" s="152">
        <f t="shared" si="60"/>
        <v>0</v>
      </c>
      <c r="AD83" s="152" t="e">
        <f t="shared" si="60"/>
        <v>#REF!</v>
      </c>
      <c r="AE83" s="152" t="e">
        <f t="shared" si="60"/>
        <v>#REF!</v>
      </c>
      <c r="AF83" s="152" t="e">
        <f t="shared" si="60"/>
        <v>#REF!</v>
      </c>
      <c r="AG83" s="152" t="e">
        <f t="shared" si="60"/>
        <v>#REF!</v>
      </c>
      <c r="AH83" s="152" t="e">
        <f t="shared" si="60"/>
        <v>#REF!</v>
      </c>
      <c r="AI83" s="152" t="e">
        <f t="shared" si="60"/>
        <v>#REF!</v>
      </c>
      <c r="AJ83" s="152" t="e">
        <f t="shared" si="60"/>
        <v>#REF!</v>
      </c>
      <c r="AK83" s="152" t="e">
        <f t="shared" si="60"/>
        <v>#REF!</v>
      </c>
      <c r="AL83" s="152" t="e">
        <f t="shared" si="60"/>
        <v>#REF!</v>
      </c>
      <c r="AM83" s="152">
        <f t="shared" si="60"/>
        <v>0</v>
      </c>
      <c r="AN83" s="152">
        <f t="shared" si="60"/>
        <v>0</v>
      </c>
      <c r="AO83" s="152" t="e">
        <f t="shared" si="60"/>
        <v>#REF!</v>
      </c>
      <c r="AP83" s="152" t="e">
        <f t="shared" si="60"/>
        <v>#REF!</v>
      </c>
      <c r="AQ83" s="152" t="e">
        <f t="shared" si="60"/>
        <v>#REF!</v>
      </c>
      <c r="AR83" s="152" t="e">
        <f t="shared" si="60"/>
        <v>#REF!</v>
      </c>
      <c r="AS83" s="152" t="e">
        <f t="shared" si="60"/>
        <v>#REF!</v>
      </c>
      <c r="AT83" s="152" t="e">
        <f t="shared" si="60"/>
        <v>#REF!</v>
      </c>
      <c r="AU83" s="152" t="e">
        <f t="shared" si="60"/>
        <v>#REF!</v>
      </c>
      <c r="AV83" s="152" t="e">
        <f t="shared" si="60"/>
        <v>#REF!</v>
      </c>
      <c r="AW83" s="152" t="e">
        <f t="shared" si="60"/>
        <v>#REF!</v>
      </c>
      <c r="AX83" s="152">
        <f t="shared" si="60"/>
        <v>0</v>
      </c>
      <c r="AY83" s="152">
        <f t="shared" si="60"/>
        <v>0</v>
      </c>
      <c r="AZ83" s="152">
        <f t="shared" si="60"/>
        <v>0</v>
      </c>
      <c r="BA83" s="152">
        <f t="shared" si="60"/>
        <v>0</v>
      </c>
      <c r="BB83" s="152">
        <f t="shared" si="60"/>
        <v>0</v>
      </c>
      <c r="BC83" s="152">
        <f t="shared" si="60"/>
        <v>0</v>
      </c>
      <c r="BD83" s="152">
        <f t="shared" si="60"/>
        <v>0</v>
      </c>
      <c r="BE83" s="152">
        <f t="shared" si="60"/>
        <v>0</v>
      </c>
      <c r="BF83" s="152">
        <f t="shared" si="60"/>
        <v>0</v>
      </c>
      <c r="BG83" s="152">
        <f t="shared" si="60"/>
        <v>0</v>
      </c>
      <c r="BH83" s="152">
        <f t="shared" si="60"/>
        <v>0</v>
      </c>
      <c r="BI83" s="4"/>
      <c r="BJ83" s="4"/>
    </row>
    <row r="84" spans="1:62" s="102" customFormat="1" ht="16" x14ac:dyDescent="0.2">
      <c r="A84" s="357"/>
      <c r="B84" s="198" t="s">
        <v>194</v>
      </c>
      <c r="C84" s="199"/>
      <c r="D84" s="200"/>
      <c r="E84" s="168"/>
      <c r="F84" s="168"/>
      <c r="G84" s="168"/>
      <c r="H84" s="201"/>
      <c r="I84" s="201"/>
      <c r="J84" s="202"/>
      <c r="K84" s="231"/>
      <c r="L84" s="231"/>
      <c r="M84" s="231"/>
      <c r="N84" s="231"/>
      <c r="O84" s="232"/>
      <c r="P84" s="231"/>
      <c r="Q84" s="231"/>
      <c r="R84" s="231"/>
      <c r="S84" s="231"/>
      <c r="T84" s="231"/>
      <c r="U84" s="231"/>
      <c r="V84" s="231"/>
      <c r="W84" s="232"/>
      <c r="X84" s="232"/>
      <c r="Y84" s="146"/>
      <c r="Z84" s="146"/>
      <c r="AA84" s="146"/>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4"/>
      <c r="BJ84" s="4"/>
    </row>
    <row r="85" spans="1:62" s="102" customFormat="1" ht="16" x14ac:dyDescent="0.2">
      <c r="A85" s="357"/>
      <c r="B85" s="233" t="s">
        <v>194</v>
      </c>
      <c r="C85" s="234" t="s">
        <v>362</v>
      </c>
      <c r="D85" s="235"/>
      <c r="E85" s="236"/>
      <c r="F85" s="236"/>
      <c r="G85" s="236"/>
      <c r="H85" s="236"/>
      <c r="I85" s="236"/>
      <c r="J85" s="237"/>
      <c r="K85" s="238"/>
      <c r="L85" s="238"/>
      <c r="M85" s="238"/>
      <c r="N85" s="238"/>
      <c r="O85" s="238"/>
      <c r="P85" s="238"/>
      <c r="Q85" s="238"/>
      <c r="R85" s="238"/>
      <c r="S85" s="238"/>
      <c r="T85" s="238"/>
      <c r="U85" s="238"/>
      <c r="V85" s="238"/>
      <c r="W85" s="238"/>
      <c r="X85" s="238"/>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39"/>
      <c r="AU85" s="239"/>
      <c r="AV85" s="239"/>
      <c r="AW85" s="239"/>
      <c r="AX85" s="239"/>
      <c r="AY85" s="239"/>
      <c r="AZ85" s="239"/>
      <c r="BA85" s="239"/>
      <c r="BB85" s="239"/>
      <c r="BC85" s="239"/>
      <c r="BD85" s="239"/>
      <c r="BE85" s="239"/>
      <c r="BF85" s="239"/>
      <c r="BG85" s="239"/>
      <c r="BH85" s="239"/>
      <c r="BI85" s="4"/>
      <c r="BJ85" s="4"/>
    </row>
    <row r="86" spans="1:62" x14ac:dyDescent="0.15">
      <c r="A86" s="358"/>
    </row>
    <row r="87" spans="1:62" s="67" customFormat="1" ht="32" outlineLevel="2" x14ac:dyDescent="0.2">
      <c r="A87" s="357">
        <v>47</v>
      </c>
      <c r="B87" s="147" t="s">
        <v>170</v>
      </c>
      <c r="C87" s="168" t="s">
        <v>375</v>
      </c>
      <c r="D87" s="147"/>
      <c r="E87" s="147" t="s">
        <v>376</v>
      </c>
      <c r="F87" s="170">
        <v>7</v>
      </c>
      <c r="G87" s="170" t="s">
        <v>377</v>
      </c>
      <c r="H87" s="170" t="s">
        <v>199</v>
      </c>
      <c r="I87" s="168" t="s">
        <v>200</v>
      </c>
      <c r="J87" s="147"/>
      <c r="K87" s="108"/>
      <c r="L87" s="108">
        <v>8000</v>
      </c>
      <c r="M87" s="108">
        <v>7000</v>
      </c>
      <c r="N87" s="108"/>
      <c r="O87" s="172">
        <f>L87+M87+N87</f>
        <v>15000</v>
      </c>
      <c r="P87" s="60"/>
      <c r="Q87" s="60"/>
      <c r="R87" s="60"/>
      <c r="S87" s="60"/>
      <c r="T87" s="60"/>
      <c r="U87" s="60"/>
      <c r="V87" s="60"/>
      <c r="W87" s="146">
        <f>O87+P87+Q87+R87+S87+T87+U87+V87</f>
        <v>15000</v>
      </c>
      <c r="X87" s="174">
        <f>K87+L87+M87+N87+P87+Q87+R87+S87+T87+U87+V87</f>
        <v>15000</v>
      </c>
      <c r="Y87" s="175" t="s">
        <v>378</v>
      </c>
      <c r="Z87" s="175" t="s">
        <v>225</v>
      </c>
      <c r="AA87" s="175" t="s">
        <v>379</v>
      </c>
      <c r="AB87" s="64"/>
      <c r="AC87" s="63"/>
      <c r="AD87" s="63"/>
      <c r="AE87" s="63" t="e">
        <f>'[1]PV inv 15 mnkr SH'!L8</f>
        <v>#REF!</v>
      </c>
      <c r="AF87" s="63" t="e">
        <f>'[1]PV inv 15 mnkr SH'!M8</f>
        <v>#REF!</v>
      </c>
      <c r="AG87" s="63" t="e">
        <f>'[1]PV inv 15 mnkr SH'!N8</f>
        <v>#REF!</v>
      </c>
      <c r="AH87" s="63" t="e">
        <f>'[1]PV inv 15 mnkr SH'!O8</f>
        <v>#REF!</v>
      </c>
      <c r="AI87" s="63" t="e">
        <f>'[1]PV inv 15 mnkr SH'!P8</f>
        <v>#REF!</v>
      </c>
      <c r="AJ87" s="63" t="e">
        <f>'[1]PV inv 15 mnkr SH'!Q8</f>
        <v>#REF!</v>
      </c>
      <c r="AK87" s="63" t="e">
        <f>'[1]PV inv 15 mnkr SH'!R8</f>
        <v>#REF!</v>
      </c>
      <c r="AL87" s="63" t="e">
        <f>'[1]PV inv 15 mnkr SH'!S8</f>
        <v>#REF!</v>
      </c>
      <c r="AM87" s="64"/>
      <c r="AN87" s="64"/>
      <c r="AO87" s="64"/>
      <c r="AP87" s="64" t="e">
        <f>-'[1]PV inv 15 mnkr SH'!L22</f>
        <v>#REF!</v>
      </c>
      <c r="AQ87" s="64" t="e">
        <f>-'[1]PV inv 15 mnkr SH'!M22</f>
        <v>#REF!</v>
      </c>
      <c r="AR87" s="64" t="e">
        <f>-'[1]PV inv 15 mnkr SH'!N22</f>
        <v>#REF!</v>
      </c>
      <c r="AS87" s="64" t="e">
        <f>-'[1]PV inv 15 mnkr SH'!O22</f>
        <v>#REF!</v>
      </c>
      <c r="AT87" s="64" t="e">
        <f>-'[1]PV inv 15 mnkr SH'!P22</f>
        <v>#REF!</v>
      </c>
      <c r="AU87" s="64" t="e">
        <f>-'[1]PV inv 15 mnkr SH'!Q22</f>
        <v>#REF!</v>
      </c>
      <c r="AV87" s="64" t="e">
        <f>-'[1]PV inv 15 mnkr SH'!R22</f>
        <v>#REF!</v>
      </c>
      <c r="AW87" s="64" t="e">
        <f>-'[1]PV inv 15 mnkr SH'!S22</f>
        <v>#REF!</v>
      </c>
      <c r="AX87" s="65"/>
      <c r="AY87" s="65"/>
      <c r="AZ87" s="65"/>
      <c r="BA87" s="65"/>
      <c r="BB87" s="65"/>
      <c r="BC87" s="65"/>
      <c r="BD87" s="65"/>
      <c r="BE87" s="65"/>
      <c r="BF87" s="65"/>
      <c r="BG87" s="65"/>
      <c r="BH87" s="65"/>
      <c r="BI87" s="3"/>
      <c r="BJ87" s="3"/>
    </row>
    <row r="88" spans="1:62" s="67" customFormat="1" ht="32" outlineLevel="1" x14ac:dyDescent="0.2">
      <c r="A88" s="357">
        <v>61</v>
      </c>
      <c r="B88" s="168" t="s">
        <v>398</v>
      </c>
      <c r="C88" s="168" t="s">
        <v>420</v>
      </c>
      <c r="D88" s="177">
        <v>8041390</v>
      </c>
      <c r="E88" s="168" t="s">
        <v>421</v>
      </c>
      <c r="F88" s="249" t="s">
        <v>422</v>
      </c>
      <c r="G88" s="170" t="s">
        <v>423</v>
      </c>
      <c r="H88" s="170" t="s">
        <v>199</v>
      </c>
      <c r="I88" s="168" t="s">
        <v>245</v>
      </c>
      <c r="J88" s="147">
        <v>350</v>
      </c>
      <c r="K88" s="108">
        <v>2000</v>
      </c>
      <c r="L88" s="108">
        <v>28000</v>
      </c>
      <c r="M88" s="108">
        <v>15000</v>
      </c>
      <c r="N88" s="108"/>
      <c r="O88" s="172">
        <f>L88+M88+N88</f>
        <v>43000</v>
      </c>
      <c r="P88" s="60"/>
      <c r="Q88" s="60"/>
      <c r="R88" s="60"/>
      <c r="S88" s="60"/>
      <c r="T88" s="60"/>
      <c r="U88" s="60"/>
      <c r="V88" s="60"/>
      <c r="W88" s="146">
        <f>O88+P88+Q88+R88+S88+T88+U88+V88</f>
        <v>43000</v>
      </c>
      <c r="X88" s="174">
        <f>K88+L88+M88+N88+P88+Q88+R88+S88+T88+U88+V88</f>
        <v>45000</v>
      </c>
      <c r="Y88" s="175"/>
      <c r="Z88" s="175" t="s">
        <v>225</v>
      </c>
      <c r="AA88" s="175" t="s">
        <v>424</v>
      </c>
      <c r="AB88" s="64"/>
      <c r="AC88" s="63"/>
      <c r="AD88" s="63"/>
      <c r="AE88" s="63" t="e">
        <f>'[1]Östervåla nybygg '!L8</f>
        <v>#REF!</v>
      </c>
      <c r="AF88" s="63" t="e">
        <f>'[1]Östervåla nybygg '!M8</f>
        <v>#REF!</v>
      </c>
      <c r="AG88" s="63" t="e">
        <f>'[1]Östervåla nybygg '!N8</f>
        <v>#REF!</v>
      </c>
      <c r="AH88" s="63" t="e">
        <f>'[1]Östervåla nybygg '!O8</f>
        <v>#REF!</v>
      </c>
      <c r="AI88" s="63" t="e">
        <f>'[1]Östervåla nybygg '!P8</f>
        <v>#REF!</v>
      </c>
      <c r="AJ88" s="63" t="e">
        <f>'[1]Östervåla nybygg '!Q8</f>
        <v>#REF!</v>
      </c>
      <c r="AK88" s="63" t="e">
        <f>'[1]Östervåla nybygg '!R8</f>
        <v>#REF!</v>
      </c>
      <c r="AL88" s="63" t="e">
        <f>'[1]Östervåla nybygg '!S8</f>
        <v>#REF!</v>
      </c>
      <c r="AM88" s="64"/>
      <c r="AN88" s="64"/>
      <c r="AO88" s="64"/>
      <c r="AP88" s="64" t="e">
        <f>-'[1]Östervåla nybygg '!L22</f>
        <v>#REF!</v>
      </c>
      <c r="AQ88" s="64" t="e">
        <f>-'[1]Östervåla nybygg '!M22</f>
        <v>#REF!</v>
      </c>
      <c r="AR88" s="64" t="e">
        <f>-'[1]Östervåla nybygg '!N22</f>
        <v>#REF!</v>
      </c>
      <c r="AS88" s="64" t="e">
        <f>-'[1]Östervåla nybygg '!O22</f>
        <v>#REF!</v>
      </c>
      <c r="AT88" s="64" t="e">
        <f>-'[1]Östervåla nybygg '!P22</f>
        <v>#REF!</v>
      </c>
      <c r="AU88" s="64" t="e">
        <f>-'[1]Östervåla nybygg '!Q22</f>
        <v>#REF!</v>
      </c>
      <c r="AV88" s="64" t="e">
        <f>-'[1]Östervåla nybygg '!R22</f>
        <v>#REF!</v>
      </c>
      <c r="AW88" s="64" t="e">
        <f>-'[1]Östervåla nybygg '!S22</f>
        <v>#REF!</v>
      </c>
      <c r="AX88" s="65"/>
      <c r="AY88" s="65"/>
      <c r="AZ88" s="65"/>
      <c r="BA88" s="65"/>
      <c r="BB88" s="65"/>
      <c r="BC88" s="65"/>
      <c r="BD88" s="65"/>
      <c r="BE88" s="65"/>
      <c r="BF88" s="65"/>
      <c r="BG88" s="65"/>
      <c r="BH88" s="65"/>
      <c r="BI88" s="3"/>
      <c r="BJ88" s="3"/>
    </row>
    <row r="89" spans="1:62" s="67" customFormat="1" ht="32" outlineLevel="1" x14ac:dyDescent="0.2">
      <c r="A89" s="357">
        <v>64</v>
      </c>
      <c r="B89" s="168" t="s">
        <v>170</v>
      </c>
      <c r="C89" s="168" t="s">
        <v>432</v>
      </c>
      <c r="D89" s="177">
        <v>8040137</v>
      </c>
      <c r="E89" s="168" t="s">
        <v>433</v>
      </c>
      <c r="F89" s="168">
        <v>0</v>
      </c>
      <c r="G89" s="170" t="s">
        <v>434</v>
      </c>
      <c r="H89" s="170" t="s">
        <v>199</v>
      </c>
      <c r="I89" s="168" t="s">
        <v>102</v>
      </c>
      <c r="J89" s="147">
        <v>1385</v>
      </c>
      <c r="K89" s="108">
        <f>826+1815</f>
        <v>2641</v>
      </c>
      <c r="L89" s="108">
        <v>10000</v>
      </c>
      <c r="M89" s="108">
        <v>15000</v>
      </c>
      <c r="N89" s="108">
        <v>14349</v>
      </c>
      <c r="O89" s="172">
        <f>L89+M89+N89</f>
        <v>39349</v>
      </c>
      <c r="P89" s="250"/>
      <c r="Q89" s="250"/>
      <c r="R89" s="250"/>
      <c r="S89" s="250"/>
      <c r="T89" s="250"/>
      <c r="U89" s="250"/>
      <c r="V89" s="250"/>
      <c r="W89" s="146">
        <f>O89+P89+Q89+R89+S89+T89+U89+V89</f>
        <v>39349</v>
      </c>
      <c r="X89" s="174">
        <f>K89+L89+M89+N89+P89+Q89+R89+S89+T89+U89+V89</f>
        <v>41990</v>
      </c>
      <c r="Y89" s="60"/>
      <c r="Z89" s="60" t="s">
        <v>225</v>
      </c>
      <c r="AA89" s="175" t="s">
        <v>435</v>
      </c>
      <c r="AB89" s="64"/>
      <c r="AC89" s="63"/>
      <c r="AD89" s="63"/>
      <c r="AE89" s="63"/>
      <c r="AF89" s="63" t="e">
        <f>'[1]Almunge nybygg'!L8</f>
        <v>#REF!</v>
      </c>
      <c r="AG89" s="63" t="e">
        <f>'[1]Almunge nybygg'!M8</f>
        <v>#REF!</v>
      </c>
      <c r="AH89" s="63" t="e">
        <f>'[1]Almunge nybygg'!N8</f>
        <v>#REF!</v>
      </c>
      <c r="AI89" s="63" t="e">
        <f>'[1]Almunge nybygg'!O8</f>
        <v>#REF!</v>
      </c>
      <c r="AJ89" s="63" t="e">
        <f>'[1]Almunge nybygg'!P8</f>
        <v>#REF!</v>
      </c>
      <c r="AK89" s="63" t="e">
        <f>'[1]Almunge nybygg'!Q8</f>
        <v>#REF!</v>
      </c>
      <c r="AL89" s="63" t="e">
        <f>'[1]Almunge nybygg'!R8</f>
        <v>#REF!</v>
      </c>
      <c r="AM89" s="64"/>
      <c r="AN89" s="64"/>
      <c r="AO89" s="64"/>
      <c r="AP89" s="64"/>
      <c r="AQ89" s="64" t="e">
        <f>-'[1]Almunge nybygg'!L22</f>
        <v>#REF!</v>
      </c>
      <c r="AR89" s="64" t="e">
        <f>-'[1]Almunge nybygg'!M22</f>
        <v>#REF!</v>
      </c>
      <c r="AS89" s="64" t="e">
        <f>-'[1]Almunge nybygg'!N22</f>
        <v>#REF!</v>
      </c>
      <c r="AT89" s="64" t="e">
        <f>-'[1]Almunge nybygg'!O22</f>
        <v>#REF!</v>
      </c>
      <c r="AU89" s="64" t="e">
        <f>-'[1]Almunge nybygg'!P22</f>
        <v>#REF!</v>
      </c>
      <c r="AV89" s="64" t="e">
        <f>-'[1]Almunge nybygg'!Q22</f>
        <v>#REF!</v>
      </c>
      <c r="AW89" s="64" t="e">
        <f>-'[1]Almunge nybygg'!R22</f>
        <v>#REF!</v>
      </c>
      <c r="AX89" s="65"/>
      <c r="AY89" s="65"/>
      <c r="AZ89" s="65"/>
      <c r="BA89" s="65"/>
      <c r="BB89" s="65"/>
      <c r="BC89" s="65"/>
      <c r="BD89" s="65"/>
      <c r="BE89" s="65"/>
      <c r="BF89" s="65"/>
      <c r="BG89" s="65"/>
      <c r="BH89" s="65"/>
      <c r="BI89" s="3"/>
      <c r="BJ89" s="3"/>
    </row>
    <row r="90" spans="1:62" s="102" customFormat="1" ht="16" x14ac:dyDescent="0.2">
      <c r="A90" s="357"/>
      <c r="B90" s="233" t="s">
        <v>194</v>
      </c>
      <c r="C90" s="234" t="s">
        <v>436</v>
      </c>
      <c r="D90" s="235"/>
      <c r="E90" s="236"/>
      <c r="F90" s="236"/>
      <c r="G90" s="236"/>
      <c r="H90" s="236"/>
      <c r="I90" s="236"/>
      <c r="J90" s="239">
        <f t="shared" ref="J90:X90" si="61">SUM(J87:J89)</f>
        <v>1735</v>
      </c>
      <c r="K90" s="239">
        <f t="shared" si="61"/>
        <v>4641</v>
      </c>
      <c r="L90" s="239">
        <f t="shared" si="61"/>
        <v>46000</v>
      </c>
      <c r="M90" s="239">
        <f t="shared" si="61"/>
        <v>37000</v>
      </c>
      <c r="N90" s="239">
        <f t="shared" si="61"/>
        <v>14349</v>
      </c>
      <c r="O90" s="239">
        <f t="shared" si="61"/>
        <v>97349</v>
      </c>
      <c r="P90" s="239">
        <f t="shared" si="61"/>
        <v>0</v>
      </c>
      <c r="Q90" s="239">
        <f t="shared" si="61"/>
        <v>0</v>
      </c>
      <c r="R90" s="239">
        <f t="shared" si="61"/>
        <v>0</v>
      </c>
      <c r="S90" s="239">
        <f t="shared" si="61"/>
        <v>0</v>
      </c>
      <c r="T90" s="239">
        <f t="shared" si="61"/>
        <v>0</v>
      </c>
      <c r="U90" s="239">
        <f t="shared" si="61"/>
        <v>0</v>
      </c>
      <c r="V90" s="239">
        <f t="shared" si="61"/>
        <v>0</v>
      </c>
      <c r="W90" s="239">
        <f t="shared" si="61"/>
        <v>97349</v>
      </c>
      <c r="X90" s="239">
        <f t="shared" si="61"/>
        <v>101990</v>
      </c>
      <c r="Y90" s="239"/>
      <c r="Z90" s="239"/>
      <c r="AA90" s="239"/>
      <c r="AB90" s="239">
        <f t="shared" ref="AB90:BH90" si="62">SUM(AB87:AB89)</f>
        <v>0</v>
      </c>
      <c r="AC90" s="239">
        <f t="shared" si="62"/>
        <v>0</v>
      </c>
      <c r="AD90" s="239">
        <f t="shared" si="62"/>
        <v>0</v>
      </c>
      <c r="AE90" s="239" t="e">
        <f t="shared" si="62"/>
        <v>#REF!</v>
      </c>
      <c r="AF90" s="239" t="e">
        <f t="shared" si="62"/>
        <v>#REF!</v>
      </c>
      <c r="AG90" s="239" t="e">
        <f t="shared" si="62"/>
        <v>#REF!</v>
      </c>
      <c r="AH90" s="239" t="e">
        <f t="shared" si="62"/>
        <v>#REF!</v>
      </c>
      <c r="AI90" s="239" t="e">
        <f t="shared" si="62"/>
        <v>#REF!</v>
      </c>
      <c r="AJ90" s="239" t="e">
        <f t="shared" si="62"/>
        <v>#REF!</v>
      </c>
      <c r="AK90" s="239" t="e">
        <f t="shared" si="62"/>
        <v>#REF!</v>
      </c>
      <c r="AL90" s="239" t="e">
        <f t="shared" si="62"/>
        <v>#REF!</v>
      </c>
      <c r="AM90" s="239">
        <f t="shared" si="62"/>
        <v>0</v>
      </c>
      <c r="AN90" s="239">
        <f t="shared" si="62"/>
        <v>0</v>
      </c>
      <c r="AO90" s="239">
        <f t="shared" si="62"/>
        <v>0</v>
      </c>
      <c r="AP90" s="239" t="e">
        <f t="shared" si="62"/>
        <v>#REF!</v>
      </c>
      <c r="AQ90" s="239" t="e">
        <f t="shared" si="62"/>
        <v>#REF!</v>
      </c>
      <c r="AR90" s="239" t="e">
        <f t="shared" si="62"/>
        <v>#REF!</v>
      </c>
      <c r="AS90" s="239" t="e">
        <f t="shared" si="62"/>
        <v>#REF!</v>
      </c>
      <c r="AT90" s="239" t="e">
        <f t="shared" si="62"/>
        <v>#REF!</v>
      </c>
      <c r="AU90" s="239" t="e">
        <f t="shared" si="62"/>
        <v>#REF!</v>
      </c>
      <c r="AV90" s="239" t="e">
        <f t="shared" si="62"/>
        <v>#REF!</v>
      </c>
      <c r="AW90" s="239" t="e">
        <f t="shared" si="62"/>
        <v>#REF!</v>
      </c>
      <c r="AX90" s="239">
        <f t="shared" si="62"/>
        <v>0</v>
      </c>
      <c r="AY90" s="239">
        <f t="shared" si="62"/>
        <v>0</v>
      </c>
      <c r="AZ90" s="239">
        <f t="shared" si="62"/>
        <v>0</v>
      </c>
      <c r="BA90" s="239">
        <f t="shared" si="62"/>
        <v>0</v>
      </c>
      <c r="BB90" s="239">
        <f t="shared" si="62"/>
        <v>0</v>
      </c>
      <c r="BC90" s="239">
        <f t="shared" si="62"/>
        <v>0</v>
      </c>
      <c r="BD90" s="239">
        <f t="shared" si="62"/>
        <v>0</v>
      </c>
      <c r="BE90" s="239">
        <f t="shared" si="62"/>
        <v>0</v>
      </c>
      <c r="BF90" s="239">
        <f t="shared" si="62"/>
        <v>0</v>
      </c>
      <c r="BG90" s="239">
        <f t="shared" si="62"/>
        <v>0</v>
      </c>
      <c r="BH90" s="239">
        <f t="shared" si="62"/>
        <v>0</v>
      </c>
      <c r="BI90" s="4"/>
      <c r="BJ90" s="4"/>
    </row>
    <row r="91" spans="1:62" s="102" customFormat="1" ht="16" x14ac:dyDescent="0.2">
      <c r="A91" s="357"/>
      <c r="B91" s="251" t="s">
        <v>194</v>
      </c>
      <c r="C91" s="252"/>
      <c r="D91" s="216"/>
      <c r="E91" s="170"/>
      <c r="F91" s="170"/>
      <c r="G91" s="170"/>
      <c r="H91" s="170"/>
      <c r="I91" s="170"/>
      <c r="J91" s="218"/>
      <c r="K91" s="60"/>
      <c r="L91" s="60"/>
      <c r="M91" s="60"/>
      <c r="N91" s="60"/>
      <c r="O91" s="172"/>
      <c r="P91" s="60"/>
      <c r="Q91" s="60"/>
      <c r="R91" s="60"/>
      <c r="S91" s="60"/>
      <c r="T91" s="60"/>
      <c r="U91" s="60"/>
      <c r="V91" s="60"/>
      <c r="W91" s="172"/>
      <c r="X91" s="174"/>
      <c r="Y91" s="97"/>
      <c r="Z91" s="97"/>
      <c r="AA91" s="97"/>
      <c r="AB91" s="108"/>
      <c r="AC91" s="98"/>
      <c r="AD91" s="98"/>
      <c r="AE91" s="98"/>
      <c r="AF91" s="98"/>
      <c r="AG91" s="98"/>
      <c r="AH91" s="98"/>
      <c r="AI91" s="98"/>
      <c r="AJ91" s="98"/>
      <c r="AK91" s="98"/>
      <c r="AL91" s="98"/>
      <c r="AM91" s="108"/>
      <c r="AN91" s="108"/>
      <c r="AO91" s="108"/>
      <c r="AP91" s="108"/>
      <c r="AQ91" s="108"/>
      <c r="AR91" s="108"/>
      <c r="AS91" s="108"/>
      <c r="AT91" s="108"/>
      <c r="AU91" s="108"/>
      <c r="AV91" s="108"/>
      <c r="AW91" s="108"/>
      <c r="AX91" s="98"/>
      <c r="AY91" s="98"/>
      <c r="AZ91" s="98"/>
      <c r="BA91" s="98"/>
      <c r="BB91" s="98"/>
      <c r="BC91" s="98"/>
      <c r="BD91" s="98"/>
      <c r="BE91" s="98"/>
      <c r="BF91" s="98"/>
      <c r="BG91" s="98"/>
      <c r="BH91" s="98"/>
      <c r="BI91" s="4"/>
      <c r="BJ91" s="4"/>
    </row>
    <row r="92" spans="1:62" s="257" customFormat="1" ht="16" x14ac:dyDescent="0.2">
      <c r="A92" s="359"/>
      <c r="B92" s="253" t="s">
        <v>194</v>
      </c>
      <c r="C92" s="254" t="s">
        <v>437</v>
      </c>
      <c r="D92" s="255"/>
      <c r="E92" s="227"/>
      <c r="F92" s="227"/>
      <c r="G92" s="227"/>
      <c r="H92" s="254"/>
      <c r="I92" s="254"/>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256"/>
      <c r="BJ92" s="256"/>
    </row>
    <row r="93" spans="1:62" x14ac:dyDescent="0.15">
      <c r="A93" s="358"/>
    </row>
    <row r="94" spans="1:62" s="102" customFormat="1" ht="32" outlineLevel="1" x14ac:dyDescent="0.2">
      <c r="A94" s="357">
        <v>65</v>
      </c>
      <c r="B94" s="168" t="s">
        <v>438</v>
      </c>
      <c r="C94" s="168" t="s">
        <v>439</v>
      </c>
      <c r="D94" s="258"/>
      <c r="E94" s="168" t="s">
        <v>440</v>
      </c>
      <c r="F94" s="168">
        <v>1</v>
      </c>
      <c r="G94" s="168"/>
      <c r="H94" s="170" t="s">
        <v>157</v>
      </c>
      <c r="I94" s="168" t="s">
        <v>200</v>
      </c>
      <c r="J94" s="147"/>
      <c r="K94" s="108">
        <v>2000</v>
      </c>
      <c r="L94" s="108">
        <v>22000</v>
      </c>
      <c r="M94" s="108">
        <v>27000</v>
      </c>
      <c r="N94" s="108">
        <v>8000</v>
      </c>
      <c r="O94" s="172">
        <f t="shared" ref="O94:O105" si="63">L94+M94+N94</f>
        <v>57000</v>
      </c>
      <c r="P94" s="108"/>
      <c r="Q94" s="108"/>
      <c r="R94" s="108"/>
      <c r="S94" s="108"/>
      <c r="T94" s="108"/>
      <c r="U94" s="108"/>
      <c r="V94" s="108"/>
      <c r="W94" s="146">
        <f t="shared" ref="W94:W105" si="64">O94+P94+Q94+R94+S94+T94+U94+V94</f>
        <v>57000</v>
      </c>
      <c r="X94" s="174">
        <f t="shared" ref="X94:X105" si="65">K94+L94+M94+N94+P94+Q94+R94+S94+T94+U94+V94</f>
        <v>59000</v>
      </c>
      <c r="Y94" s="175"/>
      <c r="Z94" s="175" t="s">
        <v>441</v>
      </c>
      <c r="AA94" s="175" t="s">
        <v>442</v>
      </c>
      <c r="AB94" s="64"/>
      <c r="AC94" s="99"/>
      <c r="AD94" s="99"/>
      <c r="AE94" s="99"/>
      <c r="AF94" s="99"/>
      <c r="AG94" s="99"/>
      <c r="AH94" s="99"/>
      <c r="AI94" s="99"/>
      <c r="AJ94" s="99"/>
      <c r="AK94" s="99"/>
      <c r="AL94" s="99"/>
      <c r="AM94" s="64"/>
      <c r="AN94" s="64"/>
      <c r="AO94" s="64" t="e">
        <f>-'[1]FI åtg B9 etapp 1 '!L22/12*6</f>
        <v>#REF!</v>
      </c>
      <c r="AP94" s="64" t="e">
        <f>-'[1]FI åtg B9 etapp 1 '!M22</f>
        <v>#REF!</v>
      </c>
      <c r="AQ94" s="64" t="e">
        <f>-'[1]FI åtg B9 etapp 1 '!N22-(('[1]FI åtg B9 etapp 2'!L22)/12*6)</f>
        <v>#REF!</v>
      </c>
      <c r="AR94" s="64" t="e">
        <f>-'[1]FI åtg B9 etapp 1 '!O22-'[1]FI åtg B9 etapp 2'!M22</f>
        <v>#REF!</v>
      </c>
      <c r="AS94" s="64" t="e">
        <f>-'[1]FI åtg B9 etapp 1 '!P22-'[1]FI åtg B9 etapp 2'!N22</f>
        <v>#REF!</v>
      </c>
      <c r="AT94" s="64" t="e">
        <f>-'[1]FI åtg B9 etapp 1 '!Q22-'[1]FI åtg B9 etapp 2'!O22</f>
        <v>#REF!</v>
      </c>
      <c r="AU94" s="64" t="e">
        <f>-'[1]FI åtg B9 etapp 1 '!R22-'[1]FI åtg B9 etapp 2'!P22</f>
        <v>#REF!</v>
      </c>
      <c r="AV94" s="64" t="e">
        <f>-'[1]FI åtg B9 etapp 1 '!S22-'[1]FI åtg B9 etapp 2'!Q22</f>
        <v>#REF!</v>
      </c>
      <c r="AW94" s="64" t="e">
        <f>-'[1]FI åtg B9 etapp 1 '!T22-'[1]FI åtg B9 etapp 2'!R22</f>
        <v>#REF!</v>
      </c>
      <c r="AX94" s="65"/>
      <c r="AY94" s="65"/>
      <c r="AZ94" s="65"/>
      <c r="BA94" s="65"/>
      <c r="BB94" s="65"/>
      <c r="BC94" s="65"/>
      <c r="BD94" s="65"/>
      <c r="BE94" s="65"/>
      <c r="BF94" s="65"/>
      <c r="BG94" s="65"/>
      <c r="BH94" s="65"/>
      <c r="BI94" s="4"/>
      <c r="BJ94" s="4"/>
    </row>
    <row r="95" spans="1:62" s="102" customFormat="1" ht="32" outlineLevel="1" x14ac:dyDescent="0.2">
      <c r="A95" s="357">
        <v>66</v>
      </c>
      <c r="B95" s="168" t="s">
        <v>438</v>
      </c>
      <c r="C95" s="168" t="s">
        <v>443</v>
      </c>
      <c r="D95" s="258"/>
      <c r="E95" s="168" t="s">
        <v>440</v>
      </c>
      <c r="F95" s="168">
        <v>1</v>
      </c>
      <c r="G95" s="168"/>
      <c r="H95" s="170" t="s">
        <v>157</v>
      </c>
      <c r="I95" s="168" t="s">
        <v>200</v>
      </c>
      <c r="J95" s="147"/>
      <c r="K95" s="108">
        <v>2000</v>
      </c>
      <c r="L95" s="108">
        <v>9000</v>
      </c>
      <c r="M95" s="108">
        <v>4000</v>
      </c>
      <c r="N95" s="108">
        <v>4000</v>
      </c>
      <c r="O95" s="172">
        <f t="shared" si="63"/>
        <v>17000</v>
      </c>
      <c r="P95" s="108"/>
      <c r="Q95" s="108"/>
      <c r="R95" s="108"/>
      <c r="S95" s="108"/>
      <c r="T95" s="108"/>
      <c r="U95" s="108"/>
      <c r="V95" s="108"/>
      <c r="W95" s="146">
        <f t="shared" si="64"/>
        <v>17000</v>
      </c>
      <c r="X95" s="174">
        <f t="shared" si="65"/>
        <v>19000</v>
      </c>
      <c r="Y95" s="175"/>
      <c r="Z95" s="175" t="s">
        <v>441</v>
      </c>
      <c r="AA95" s="175" t="s">
        <v>442</v>
      </c>
      <c r="AB95" s="64"/>
      <c r="AC95" s="99"/>
      <c r="AD95" s="99"/>
      <c r="AE95" s="99"/>
      <c r="AF95" s="99"/>
      <c r="AG95" s="99"/>
      <c r="AH95" s="99"/>
      <c r="AI95" s="99"/>
      <c r="AJ95" s="99"/>
      <c r="AK95" s="99"/>
      <c r="AL95" s="99"/>
      <c r="AM95" s="64"/>
      <c r="AN95" s="64"/>
      <c r="AO95" s="64" t="e">
        <f>-'[1]FI åtg B12 etapp 1'!L22/12*6</f>
        <v>#REF!</v>
      </c>
      <c r="AP95" s="64" t="e">
        <f>-'[1]FI åtg B12 etapp 1'!M22</f>
        <v>#REF!</v>
      </c>
      <c r="AQ95" s="64" t="e">
        <f>-'[1]FI åtg B12 etapp 1'!N22-(('[1]FI åtg B12 etapp 2'!L22)/12*6)</f>
        <v>#REF!</v>
      </c>
      <c r="AR95" s="64" t="e">
        <f>-'[1]FI åtg B12 etapp 1'!O22-'[1]FI åtg B12 etapp 2'!M22</f>
        <v>#REF!</v>
      </c>
      <c r="AS95" s="64" t="e">
        <f>-'[1]FI åtg B12 etapp 1'!P22-'[1]FI åtg B12 etapp 2'!N22</f>
        <v>#REF!</v>
      </c>
      <c r="AT95" s="64" t="e">
        <f>-'[1]FI åtg B12 etapp 1'!Q22-'[1]FI åtg B12 etapp 2'!O22</f>
        <v>#REF!</v>
      </c>
      <c r="AU95" s="64" t="e">
        <f>-'[1]FI åtg B12 etapp 1'!R22-'[1]FI åtg B12 etapp 2'!P22</f>
        <v>#REF!</v>
      </c>
      <c r="AV95" s="64" t="e">
        <f>-'[1]FI åtg B12 etapp 1'!S22-'[1]FI åtg B12 etapp 2'!Q22</f>
        <v>#REF!</v>
      </c>
      <c r="AW95" s="64" t="e">
        <f>-'[1]FI åtg B12 etapp 1'!T22-'[1]FI åtg B12 etapp 2'!R22</f>
        <v>#REF!</v>
      </c>
      <c r="AX95" s="65"/>
      <c r="AY95" s="65"/>
      <c r="AZ95" s="65"/>
      <c r="BA95" s="65"/>
      <c r="BB95" s="65"/>
      <c r="BC95" s="65"/>
      <c r="BD95" s="65"/>
      <c r="BE95" s="65"/>
      <c r="BF95" s="65"/>
      <c r="BG95" s="65"/>
      <c r="BH95" s="65"/>
      <c r="BI95" s="4"/>
      <c r="BJ95" s="4"/>
    </row>
    <row r="96" spans="1:62" s="102" customFormat="1" ht="32" outlineLevel="1" x14ac:dyDescent="0.2">
      <c r="A96" s="357">
        <v>67</v>
      </c>
      <c r="B96" s="191" t="s">
        <v>438</v>
      </c>
      <c r="C96" s="168" t="s">
        <v>444</v>
      </c>
      <c r="D96" s="177" t="s">
        <v>312</v>
      </c>
      <c r="E96" s="168"/>
      <c r="F96" s="168">
        <v>3</v>
      </c>
      <c r="G96" s="168"/>
      <c r="H96" s="168" t="s">
        <v>157</v>
      </c>
      <c r="I96" s="168" t="s">
        <v>200</v>
      </c>
      <c r="J96" s="147"/>
      <c r="K96" s="108"/>
      <c r="L96" s="108"/>
      <c r="M96" s="108">
        <f>40000-20000-5000</f>
        <v>15000</v>
      </c>
      <c r="N96" s="108">
        <f>40000-20000-5000</f>
        <v>15000</v>
      </c>
      <c r="O96" s="172">
        <f t="shared" si="63"/>
        <v>30000</v>
      </c>
      <c r="P96" s="108">
        <f>40000-5000</f>
        <v>35000</v>
      </c>
      <c r="Q96" s="108">
        <f t="shared" ref="Q96:R96" si="66">40000-5000</f>
        <v>35000</v>
      </c>
      <c r="R96" s="108">
        <f t="shared" si="66"/>
        <v>35000</v>
      </c>
      <c r="S96" s="98"/>
      <c r="T96" s="98"/>
      <c r="U96" s="98"/>
      <c r="V96" s="98"/>
      <c r="W96" s="146">
        <f t="shared" si="64"/>
        <v>135000</v>
      </c>
      <c r="X96" s="174">
        <f t="shared" si="65"/>
        <v>135000</v>
      </c>
      <c r="Y96" s="175"/>
      <c r="Z96" s="175" t="s">
        <v>441</v>
      </c>
      <c r="AA96" s="175" t="s">
        <v>442</v>
      </c>
      <c r="AB96" s="64"/>
      <c r="AC96" s="99"/>
      <c r="AD96" s="99"/>
      <c r="AE96" s="99"/>
      <c r="AF96" s="99"/>
      <c r="AG96" s="99"/>
      <c r="AH96" s="99"/>
      <c r="AI96" s="99"/>
      <c r="AJ96" s="99"/>
      <c r="AK96" s="99"/>
      <c r="AL96" s="99"/>
      <c r="AM96" s="64"/>
      <c r="AN96" s="64"/>
      <c r="AO96" s="64"/>
      <c r="AP96" s="171" t="e">
        <f>-'[1]Nya Energiåtg etapp 1'!L22/12*6</f>
        <v>#REF!</v>
      </c>
      <c r="AQ96" s="171" t="e">
        <f>-'[1]Nya Energiåtg etapp 1'!M22-'[1]Nya Energiåtg etapp 2'!L22/12*6</f>
        <v>#REF!</v>
      </c>
      <c r="AR96" s="171" t="e">
        <f>-'[1]Nya Energiåtg etapp 1'!N22-'[1]Nya Energiåtg etapp 2'!M22-'[1]Nya Energiåtg etapp 3'!L22/12*6</f>
        <v>#REF!</v>
      </c>
      <c r="AS96" s="171" t="e">
        <f>-'[1]Nya Energiåtg etapp 1'!O22-'[1]Nya Energiåtg etapp 2'!N22-'[1]Nya Energiåtg etapp 3'!M22-'[1]Nya Energiåtg etapp 4'!L22/12*6</f>
        <v>#REF!</v>
      </c>
      <c r="AT96" s="171" t="e">
        <f>-'[1]Nya Energiåtg etapp 1'!P22-'[1]Nya Energiåtg etapp 2'!O22-'[1]Nya Energiåtg etapp 3'!N22-'[1]Nya Energiåtg etapp 4'!M22</f>
        <v>#REF!</v>
      </c>
      <c r="AU96" s="171" t="e">
        <f>-'[1]Nya Energiåtg etapp 1'!Q22-'[1]Nya Energiåtg etapp 2'!P22-'[1]Nya Energiåtg etapp 3'!O22-'[1]Nya Energiåtg etapp 4'!N22</f>
        <v>#REF!</v>
      </c>
      <c r="AV96" s="171" t="e">
        <f>-'[1]Nya Energiåtg etapp 1'!R22-'[1]Nya Energiåtg etapp 2'!Q22-'[1]Nya Energiåtg etapp 3'!P22-'[1]Nya Energiåtg etapp 4'!O22</f>
        <v>#REF!</v>
      </c>
      <c r="AW96" s="171" t="e">
        <f>-'[1]Nya Energiåtg etapp 1'!S22-'[1]Nya Energiåtg etapp 2'!R22-'[1]Nya Energiåtg etapp 3'!Q22-'[1]Nya Energiåtg etapp 4'!P22</f>
        <v>#REF!</v>
      </c>
      <c r="AX96" s="65"/>
      <c r="AY96" s="65"/>
      <c r="AZ96" s="65"/>
      <c r="BA96" s="65"/>
      <c r="BB96" s="65"/>
      <c r="BC96" s="65"/>
      <c r="BD96" s="65"/>
      <c r="BE96" s="65"/>
      <c r="BF96" s="65"/>
      <c r="BG96" s="65"/>
      <c r="BH96" s="65"/>
      <c r="BI96" s="4"/>
      <c r="BJ96" s="4"/>
    </row>
    <row r="97" spans="1:62" s="102" customFormat="1" ht="32" outlineLevel="1" x14ac:dyDescent="0.2">
      <c r="A97" s="357">
        <v>68</v>
      </c>
      <c r="B97" s="191" t="s">
        <v>438</v>
      </c>
      <c r="C97" s="168" t="s">
        <v>445</v>
      </c>
      <c r="D97" s="177" t="s">
        <v>312</v>
      </c>
      <c r="E97" s="168" t="s">
        <v>446</v>
      </c>
      <c r="F97" s="168">
        <v>1</v>
      </c>
      <c r="G97" s="168"/>
      <c r="H97" s="168" t="s">
        <v>157</v>
      </c>
      <c r="I97" s="168" t="s">
        <v>200</v>
      </c>
      <c r="J97" s="147"/>
      <c r="K97" s="108"/>
      <c r="L97" s="108">
        <v>10000</v>
      </c>
      <c r="M97" s="108">
        <v>10000</v>
      </c>
      <c r="N97" s="108">
        <v>10000</v>
      </c>
      <c r="O97" s="172">
        <f t="shared" si="63"/>
        <v>30000</v>
      </c>
      <c r="P97" s="108"/>
      <c r="Q97" s="98"/>
      <c r="R97" s="98"/>
      <c r="S97" s="98"/>
      <c r="T97" s="98"/>
      <c r="U97" s="98"/>
      <c r="V97" s="98"/>
      <c r="W97" s="146">
        <f t="shared" si="64"/>
        <v>30000</v>
      </c>
      <c r="X97" s="174">
        <f t="shared" si="65"/>
        <v>30000</v>
      </c>
      <c r="Y97" s="175"/>
      <c r="Z97" s="175" t="s">
        <v>441</v>
      </c>
      <c r="AA97" s="175" t="s">
        <v>442</v>
      </c>
      <c r="AB97" s="64"/>
      <c r="AC97" s="99"/>
      <c r="AD97" s="99"/>
      <c r="AE97" s="99"/>
      <c r="AF97" s="99"/>
      <c r="AG97" s="99"/>
      <c r="AH97" s="99"/>
      <c r="AI97" s="99"/>
      <c r="AJ97" s="99"/>
      <c r="AK97" s="99"/>
      <c r="AL97" s="99"/>
      <c r="AM97" s="64"/>
      <c r="AN97" s="64"/>
      <c r="AO97" s="64" t="e">
        <f>-'[1]Stamrenov AS'!L22/12*6</f>
        <v>#REF!</v>
      </c>
      <c r="AP97" s="64" t="e">
        <f>-'[1]Stamrenov AS'!M22-'[1]Stamrenov AS'!L22/12*6</f>
        <v>#REF!</v>
      </c>
      <c r="AQ97" s="64" t="e">
        <f>-'[1]Stamrenov AS'!N22-'[1]Stamrenov AS'!M22-'[1]Stamrenov AS'!L22/12*6</f>
        <v>#REF!</v>
      </c>
      <c r="AR97" s="64" t="e">
        <f>-'[1]Stamrenov AS'!O22-'[1]Stamrenov AS'!N22-'[1]Stamrenov AS'!M22</f>
        <v>#REF!</v>
      </c>
      <c r="AS97" s="64" t="e">
        <f>-'[1]Stamrenov AS'!P22-'[1]Stamrenov AS'!O22-'[1]Stamrenov AS'!N22</f>
        <v>#REF!</v>
      </c>
      <c r="AT97" s="64" t="e">
        <f>-'[1]Stamrenov AS'!Q22-'[1]Stamrenov AS'!P22-'[1]Stamrenov AS'!O22</f>
        <v>#REF!</v>
      </c>
      <c r="AU97" s="64" t="e">
        <f>-'[1]Stamrenov AS'!R22-'[1]Stamrenov AS'!Q22-'[1]Stamrenov AS'!P22</f>
        <v>#REF!</v>
      </c>
      <c r="AV97" s="64" t="e">
        <f>-'[1]Stamrenov AS'!S22-'[1]Stamrenov AS'!R22-'[1]Stamrenov AS'!Q22</f>
        <v>#REF!</v>
      </c>
      <c r="AW97" s="64" t="e">
        <f>-'[1]Stamrenov AS'!T22-'[1]Stamrenov AS'!S22-'[1]Stamrenov AS'!R22</f>
        <v>#REF!</v>
      </c>
      <c r="AX97" s="65"/>
      <c r="AY97" s="65"/>
      <c r="AZ97" s="65"/>
      <c r="BA97" s="65"/>
      <c r="BB97" s="65"/>
      <c r="BC97" s="65"/>
      <c r="BD97" s="65"/>
      <c r="BE97" s="65"/>
      <c r="BF97" s="65"/>
      <c r="BG97" s="65"/>
      <c r="BH97" s="65"/>
      <c r="BI97" s="4"/>
      <c r="BJ97" s="4"/>
    </row>
    <row r="98" spans="1:62" s="102" customFormat="1" ht="16" outlineLevel="1" x14ac:dyDescent="0.2">
      <c r="A98" s="357">
        <v>69</v>
      </c>
      <c r="B98" s="191" t="s">
        <v>438</v>
      </c>
      <c r="C98" s="168" t="s">
        <v>447</v>
      </c>
      <c r="D98" s="177" t="s">
        <v>312</v>
      </c>
      <c r="E98" s="168" t="s">
        <v>448</v>
      </c>
      <c r="F98" s="168">
        <v>2</v>
      </c>
      <c r="G98" s="168"/>
      <c r="H98" s="168" t="s">
        <v>157</v>
      </c>
      <c r="I98" s="168" t="s">
        <v>200</v>
      </c>
      <c r="J98" s="147"/>
      <c r="K98" s="108"/>
      <c r="L98" s="108">
        <v>10000</v>
      </c>
      <c r="M98" s="108">
        <v>15000</v>
      </c>
      <c r="N98" s="108"/>
      <c r="O98" s="172">
        <f t="shared" si="63"/>
        <v>25000</v>
      </c>
      <c r="P98" s="108"/>
      <c r="Q98" s="98"/>
      <c r="R98" s="98"/>
      <c r="S98" s="98"/>
      <c r="T98" s="98"/>
      <c r="U98" s="98"/>
      <c r="V98" s="98"/>
      <c r="W98" s="146">
        <f t="shared" si="64"/>
        <v>25000</v>
      </c>
      <c r="X98" s="174">
        <f t="shared" si="65"/>
        <v>25000</v>
      </c>
      <c r="Y98" s="175"/>
      <c r="Z98" s="175" t="s">
        <v>441</v>
      </c>
      <c r="AA98" s="175" t="s">
        <v>442</v>
      </c>
      <c r="AB98" s="64"/>
      <c r="AC98" s="99"/>
      <c r="AD98" s="99"/>
      <c r="AE98" s="99"/>
      <c r="AF98" s="99"/>
      <c r="AG98" s="99"/>
      <c r="AH98" s="99"/>
      <c r="AI98" s="99"/>
      <c r="AJ98" s="99"/>
      <c r="AK98" s="99"/>
      <c r="AL98" s="99"/>
      <c r="AM98" s="64"/>
      <c r="AN98" s="64"/>
      <c r="AO98" s="64"/>
      <c r="AP98" s="64" t="e">
        <f>-'[1]Fjv AS VS01'!L22/12*6</f>
        <v>#REF!</v>
      </c>
      <c r="AQ98" s="64" t="e">
        <f>-'[1]Fjv AS VS01'!M22</f>
        <v>#REF!</v>
      </c>
      <c r="AR98" s="64" t="e">
        <f>-'[1]Fjv AS VS01'!N22</f>
        <v>#REF!</v>
      </c>
      <c r="AS98" s="64" t="e">
        <f>-'[1]Fjv AS VS01'!O22</f>
        <v>#REF!</v>
      </c>
      <c r="AT98" s="64" t="e">
        <f>-'[1]Fjv AS VS01'!P22</f>
        <v>#REF!</v>
      </c>
      <c r="AU98" s="64" t="e">
        <f>-'[1]Fjv AS VS01'!Q22</f>
        <v>#REF!</v>
      </c>
      <c r="AV98" s="64" t="e">
        <f>-'[1]Fjv AS VS01'!R22</f>
        <v>#REF!</v>
      </c>
      <c r="AW98" s="64" t="e">
        <f>-'[1]Fjv AS VS01'!S22</f>
        <v>#REF!</v>
      </c>
      <c r="AX98" s="65"/>
      <c r="AY98" s="65"/>
      <c r="AZ98" s="65"/>
      <c r="BA98" s="65"/>
      <c r="BB98" s="65"/>
      <c r="BC98" s="65"/>
      <c r="BD98" s="65"/>
      <c r="BE98" s="65"/>
      <c r="BF98" s="65"/>
      <c r="BG98" s="65"/>
      <c r="BH98" s="65"/>
      <c r="BI98" s="4"/>
      <c r="BJ98" s="4"/>
    </row>
    <row r="99" spans="1:62" s="102" customFormat="1" ht="30.75" customHeight="1" outlineLevel="1" x14ac:dyDescent="0.2">
      <c r="A99" s="357">
        <v>70</v>
      </c>
      <c r="B99" s="191" t="s">
        <v>438</v>
      </c>
      <c r="C99" s="168" t="s">
        <v>449</v>
      </c>
      <c r="D99" s="177" t="s">
        <v>312</v>
      </c>
      <c r="E99" s="168" t="s">
        <v>450</v>
      </c>
      <c r="F99" s="168">
        <v>1</v>
      </c>
      <c r="G99" s="168"/>
      <c r="H99" s="168" t="s">
        <v>157</v>
      </c>
      <c r="I99" s="168" t="s">
        <v>200</v>
      </c>
      <c r="J99" s="147"/>
      <c r="K99" s="108">
        <v>5000</v>
      </c>
      <c r="L99" s="108">
        <v>35000</v>
      </c>
      <c r="M99" s="108"/>
      <c r="N99" s="108"/>
      <c r="O99" s="172">
        <f t="shared" si="63"/>
        <v>35000</v>
      </c>
      <c r="P99" s="108"/>
      <c r="Q99" s="98"/>
      <c r="R99" s="98"/>
      <c r="S99" s="98"/>
      <c r="T99" s="98"/>
      <c r="U99" s="98"/>
      <c r="V99" s="98"/>
      <c r="W99" s="146">
        <f t="shared" si="64"/>
        <v>35000</v>
      </c>
      <c r="X99" s="174">
        <f t="shared" si="65"/>
        <v>40000</v>
      </c>
      <c r="Y99" s="175"/>
      <c r="Z99" s="175" t="s">
        <v>441</v>
      </c>
      <c r="AA99" s="175" t="s">
        <v>442</v>
      </c>
      <c r="AB99" s="64"/>
      <c r="AC99" s="99"/>
      <c r="AD99" s="99"/>
      <c r="AE99" s="99"/>
      <c r="AF99" s="99"/>
      <c r="AG99" s="99"/>
      <c r="AH99" s="99"/>
      <c r="AI99" s="99"/>
      <c r="AJ99" s="99"/>
      <c r="AK99" s="99"/>
      <c r="AL99" s="99"/>
      <c r="AM99" s="64"/>
      <c r="AN99" s="64"/>
      <c r="AO99" s="64" t="e">
        <f>-'[1]Fjv AS VS01 (2)'!L22</f>
        <v>#REF!</v>
      </c>
      <c r="AP99" s="64" t="e">
        <f>-'[1]Fjv AS VS01 (2)'!M22</f>
        <v>#REF!</v>
      </c>
      <c r="AQ99" s="64" t="e">
        <f>-'[1]Fjv AS VS01 (2)'!N22</f>
        <v>#REF!</v>
      </c>
      <c r="AR99" s="64" t="e">
        <f>-'[1]Fjv AS VS01 (2)'!O22</f>
        <v>#REF!</v>
      </c>
      <c r="AS99" s="64" t="e">
        <f>-'[1]Fjv AS VS01 (2)'!P22</f>
        <v>#REF!</v>
      </c>
      <c r="AT99" s="64" t="e">
        <f>-'[1]Fjv AS VS01 (2)'!Q22</f>
        <v>#REF!</v>
      </c>
      <c r="AU99" s="64" t="e">
        <f>-'[1]Fjv AS VS01 (2)'!R22</f>
        <v>#REF!</v>
      </c>
      <c r="AV99" s="64" t="e">
        <f>-'[1]Fjv AS VS01 (2)'!S22</f>
        <v>#REF!</v>
      </c>
      <c r="AW99" s="64" t="e">
        <f>-'[1]Fjv AS VS01 (2)'!T22</f>
        <v>#REF!</v>
      </c>
      <c r="AX99" s="65"/>
      <c r="AY99" s="65"/>
      <c r="AZ99" s="65"/>
      <c r="BA99" s="65"/>
      <c r="BB99" s="65"/>
      <c r="BC99" s="65"/>
      <c r="BD99" s="65"/>
      <c r="BE99" s="65"/>
      <c r="BF99" s="65"/>
      <c r="BG99" s="65"/>
      <c r="BH99" s="65"/>
      <c r="BI99" s="4"/>
      <c r="BJ99" s="4"/>
    </row>
    <row r="100" spans="1:62" s="102" customFormat="1" ht="27.75" customHeight="1" outlineLevel="1" x14ac:dyDescent="0.2">
      <c r="A100" s="357">
        <v>72</v>
      </c>
      <c r="B100" s="191" t="s">
        <v>438</v>
      </c>
      <c r="C100" s="168" t="s">
        <v>454</v>
      </c>
      <c r="D100" s="177">
        <v>8041452</v>
      </c>
      <c r="E100" s="168"/>
      <c r="F100" s="168">
        <v>3</v>
      </c>
      <c r="G100" s="168"/>
      <c r="H100" s="168" t="s">
        <v>157</v>
      </c>
      <c r="I100" s="168" t="s">
        <v>276</v>
      </c>
      <c r="J100" s="147">
        <v>1850</v>
      </c>
      <c r="K100" s="147"/>
      <c r="L100" s="147"/>
      <c r="M100" s="147"/>
      <c r="N100" s="108"/>
      <c r="O100" s="172">
        <f t="shared" si="63"/>
        <v>0</v>
      </c>
      <c r="P100" s="147">
        <v>3000</v>
      </c>
      <c r="Q100" s="147">
        <v>15000</v>
      </c>
      <c r="R100" s="147">
        <v>18000</v>
      </c>
      <c r="S100" s="98"/>
      <c r="T100" s="98"/>
      <c r="U100" s="98"/>
      <c r="V100" s="98"/>
      <c r="W100" s="146">
        <f t="shared" si="64"/>
        <v>36000</v>
      </c>
      <c r="X100" s="174">
        <f t="shared" si="65"/>
        <v>36000</v>
      </c>
      <c r="Y100" s="175" t="s">
        <v>455</v>
      </c>
      <c r="Z100" s="175" t="s">
        <v>441</v>
      </c>
      <c r="AA100" s="175" t="s">
        <v>442</v>
      </c>
      <c r="AB100" s="64"/>
      <c r="AC100" s="99"/>
      <c r="AD100" s="99"/>
      <c r="AE100" s="99"/>
      <c r="AF100" s="99"/>
      <c r="AG100" s="99"/>
      <c r="AH100" s="99"/>
      <c r="AI100" s="99"/>
      <c r="AJ100" s="99"/>
      <c r="AK100" s="99"/>
      <c r="AL100" s="99"/>
      <c r="AM100" s="64"/>
      <c r="AN100" s="64"/>
      <c r="AO100" s="64"/>
      <c r="AP100" s="64"/>
      <c r="AQ100" s="64"/>
      <c r="AR100" s="64"/>
      <c r="AS100" s="64"/>
      <c r="AT100" s="64" t="e">
        <f>-'[1]FI kulvert B3'!L22/12*6</f>
        <v>#REF!</v>
      </c>
      <c r="AU100" s="64" t="e">
        <f>-'[1]FI kulvert B3'!M22</f>
        <v>#REF!</v>
      </c>
      <c r="AV100" s="64" t="e">
        <f>-'[1]FI kulvert B3'!N22</f>
        <v>#REF!</v>
      </c>
      <c r="AW100" s="64" t="e">
        <f>-'[1]FI kulvert B3'!O22</f>
        <v>#REF!</v>
      </c>
      <c r="AX100" s="65"/>
      <c r="AY100" s="65"/>
      <c r="AZ100" s="65"/>
      <c r="BA100" s="65"/>
      <c r="BB100" s="65"/>
      <c r="BC100" s="65"/>
      <c r="BD100" s="65"/>
      <c r="BE100" s="65"/>
      <c r="BF100" s="65"/>
      <c r="BG100" s="65"/>
      <c r="BH100" s="65"/>
      <c r="BI100" s="4"/>
      <c r="BJ100" s="4"/>
    </row>
    <row r="101" spans="1:62" s="102" customFormat="1" ht="39" customHeight="1" outlineLevel="1" x14ac:dyDescent="0.2">
      <c r="A101" s="357">
        <v>73</v>
      </c>
      <c r="B101" s="191" t="s">
        <v>438</v>
      </c>
      <c r="C101" s="168" t="s">
        <v>456</v>
      </c>
      <c r="D101" s="188"/>
      <c r="E101" s="168" t="s">
        <v>457</v>
      </c>
      <c r="F101" s="168">
        <v>2</v>
      </c>
      <c r="G101" s="168"/>
      <c r="H101" s="168" t="s">
        <v>157</v>
      </c>
      <c r="I101" s="168" t="s">
        <v>276</v>
      </c>
      <c r="J101" s="147"/>
      <c r="K101" s="108">
        <v>3000</v>
      </c>
      <c r="L101" s="108">
        <v>6000</v>
      </c>
      <c r="M101" s="108"/>
      <c r="N101" s="98"/>
      <c r="O101" s="172">
        <f t="shared" si="63"/>
        <v>6000</v>
      </c>
      <c r="P101" s="98"/>
      <c r="Q101" s="98"/>
      <c r="R101" s="98"/>
      <c r="S101" s="98"/>
      <c r="T101" s="98"/>
      <c r="U101" s="98"/>
      <c r="V101" s="98"/>
      <c r="W101" s="146">
        <f t="shared" si="64"/>
        <v>6000</v>
      </c>
      <c r="X101" s="174">
        <f t="shared" si="65"/>
        <v>9000</v>
      </c>
      <c r="Y101" s="175"/>
      <c r="Z101" s="175" t="s">
        <v>441</v>
      </c>
      <c r="AA101" s="175" t="s">
        <v>442</v>
      </c>
      <c r="AB101" s="64"/>
      <c r="AC101" s="99"/>
      <c r="AD101" s="99"/>
      <c r="AE101" s="99"/>
      <c r="AF101" s="99"/>
      <c r="AG101" s="99"/>
      <c r="AH101" s="99"/>
      <c r="AI101" s="99"/>
      <c r="AJ101" s="99"/>
      <c r="AK101" s="99"/>
      <c r="AL101" s="99"/>
      <c r="AM101" s="64"/>
      <c r="AN101" s="64"/>
      <c r="AO101" s="64" t="e">
        <f>-'[1]Ny entre SH '!L22</f>
        <v>#REF!</v>
      </c>
      <c r="AP101" s="64" t="e">
        <f>-'[1]Ny entre SH '!M22</f>
        <v>#REF!</v>
      </c>
      <c r="AQ101" s="64" t="e">
        <f>-'[1]Ny entre SH '!N22</f>
        <v>#REF!</v>
      </c>
      <c r="AR101" s="64" t="e">
        <f>-'[1]Ny entre SH '!O22</f>
        <v>#REF!</v>
      </c>
      <c r="AS101" s="64" t="e">
        <f>-'[1]Ny entre SH '!P22</f>
        <v>#REF!</v>
      </c>
      <c r="AT101" s="64" t="e">
        <f>-'[1]Ny entre SH '!Q22</f>
        <v>#REF!</v>
      </c>
      <c r="AU101" s="64" t="e">
        <f>-'[1]Ny entre SH '!R22</f>
        <v>#REF!</v>
      </c>
      <c r="AV101" s="64" t="e">
        <f>-'[1]Ny entre SH '!S22</f>
        <v>#REF!</v>
      </c>
      <c r="AW101" s="64" t="e">
        <f>-'[1]Ny entre SH '!T22</f>
        <v>#REF!</v>
      </c>
      <c r="AX101" s="65"/>
      <c r="AY101" s="65"/>
      <c r="AZ101" s="65"/>
      <c r="BA101" s="65"/>
      <c r="BB101" s="65"/>
      <c r="BC101" s="65"/>
      <c r="BD101" s="65"/>
      <c r="BE101" s="65"/>
      <c r="BF101" s="65"/>
      <c r="BG101" s="65"/>
      <c r="BH101" s="65"/>
      <c r="BI101" s="4"/>
      <c r="BJ101" s="4"/>
    </row>
    <row r="102" spans="1:62" s="102" customFormat="1" ht="16" outlineLevel="1" x14ac:dyDescent="0.2">
      <c r="A102" s="357">
        <v>74</v>
      </c>
      <c r="B102" s="168" t="s">
        <v>438</v>
      </c>
      <c r="C102" s="168" t="s">
        <v>458</v>
      </c>
      <c r="D102" s="177"/>
      <c r="E102" s="168" t="s">
        <v>459</v>
      </c>
      <c r="F102" s="168">
        <v>0</v>
      </c>
      <c r="G102" s="168"/>
      <c r="H102" s="168" t="s">
        <v>157</v>
      </c>
      <c r="I102" s="168" t="s">
        <v>269</v>
      </c>
      <c r="J102" s="147">
        <v>140000</v>
      </c>
      <c r="K102" s="108">
        <v>100000</v>
      </c>
      <c r="L102" s="108">
        <f>140000-40000</f>
        <v>100000</v>
      </c>
      <c r="M102" s="108">
        <f t="shared" ref="M102:N102" si="67">140000-40000</f>
        <v>100000</v>
      </c>
      <c r="N102" s="108">
        <f t="shared" si="67"/>
        <v>100000</v>
      </c>
      <c r="O102" s="172">
        <f t="shared" si="63"/>
        <v>300000</v>
      </c>
      <c r="P102" s="108">
        <f>150000-40000</f>
        <v>110000</v>
      </c>
      <c r="Q102" s="108">
        <f t="shared" ref="Q102:R102" si="68">150000-40000</f>
        <v>110000</v>
      </c>
      <c r="R102" s="108">
        <f t="shared" si="68"/>
        <v>110000</v>
      </c>
      <c r="S102" s="108">
        <v>150000</v>
      </c>
      <c r="T102" s="108">
        <v>150000</v>
      </c>
      <c r="U102" s="108">
        <v>150000</v>
      </c>
      <c r="V102" s="108">
        <v>150000</v>
      </c>
      <c r="W102" s="146">
        <f t="shared" si="64"/>
        <v>1230000</v>
      </c>
      <c r="X102" s="174">
        <f t="shared" si="65"/>
        <v>1330000</v>
      </c>
      <c r="Y102" s="175"/>
      <c r="Z102" s="175" t="s">
        <v>441</v>
      </c>
      <c r="AA102" s="175" t="s">
        <v>442</v>
      </c>
      <c r="AB102" s="64"/>
      <c r="AC102" s="99"/>
      <c r="AD102" s="99"/>
      <c r="AE102" s="99"/>
      <c r="AF102" s="99"/>
      <c r="AG102" s="99"/>
      <c r="AH102" s="99"/>
      <c r="AI102" s="99"/>
      <c r="AJ102" s="99"/>
      <c r="AK102" s="99"/>
      <c r="AL102" s="99"/>
      <c r="AM102" s="64"/>
      <c r="AN102" s="64">
        <v>7000</v>
      </c>
      <c r="AO102" s="171" t="e">
        <f>-'[1]FI åtg 140 mnkr'!L22/12*6</f>
        <v>#REF!</v>
      </c>
      <c r="AP102" s="171" t="e">
        <f>-'[1]FI åtg 140 mnkr'!M22-'[1]FI åtg 140 mnkr'!L22/12*6</f>
        <v>#REF!</v>
      </c>
      <c r="AQ102" s="171" t="e">
        <f>-'[1]FI åtg 140 mnkr'!N22-'[1]FI åtg 140 mnkr'!M22-'[1]FI åtg 140 mnkr'!L22/12*6</f>
        <v>#REF!</v>
      </c>
      <c r="AR102" s="171" t="e">
        <f>-'[1]FI åtg 140 mnkr'!O22-'[1]FI åtg 140 mnkr'!N22-'[1]FI åtg 140 mnkr'!M22-'[1]FI åtg 140 mnkr'!L22/12*6</f>
        <v>#REF!</v>
      </c>
      <c r="AS102" s="171" t="e">
        <f>-'[1]FI åtg 140 mnkr'!P22-'[1]FI åtg 140 mnkr'!O22-'[1]FI åtg 140 mnkr'!N22-'[1]FI åtg 140 mnkr'!M22-'[1]FI åtg 140 mnkr'!L22/12*6</f>
        <v>#REF!</v>
      </c>
      <c r="AT102" s="171" t="e">
        <f>-'[1]FI åtg 140 mnkr'!Q22-'[1]FI åtg 140 mnkr'!P22-'[1]FI åtg 140 mnkr'!O22-'[1]FI åtg 140 mnkr'!N22-'[1]FI åtg 140 mnkr'!M22-'[1]FI åtg 140 mnkr'!L22/12*6</f>
        <v>#REF!</v>
      </c>
      <c r="AU102" s="171" t="e">
        <f>-'[1]FI åtg 140 mnkr'!R22-'[1]FI åtg 140 mnkr'!Q22-'[1]FI åtg 140 mnkr'!P22-'[1]FI åtg 140 mnkr'!O22-'[1]FI åtg 140 mnkr'!N22-'[1]FI åtg 140 mnkr'!M22-'[1]FI åtg 140 mnkr'!L22/12*6</f>
        <v>#REF!</v>
      </c>
      <c r="AV102" s="171" t="e">
        <f>-'[1]FI åtg 140 mnkr'!S22-'[1]FI åtg 140 mnkr'!R22-'[1]FI åtg 140 mnkr'!Q22-'[1]FI åtg 140 mnkr'!P22-'[1]FI åtg 140 mnkr'!O22-'[1]FI åtg 140 mnkr'!N22-'[1]FI åtg 140 mnkr'!M22-'[1]FI åtg 140 mnkr'!L22/12*6</f>
        <v>#REF!</v>
      </c>
      <c r="AW102" s="171" t="e">
        <f>-'[1]FI åtg 140 mnkr'!T22-'[1]FI åtg 140 mnkr'!S22-'[1]FI åtg 140 mnkr'!R22-'[1]FI åtg 140 mnkr'!Q22-'[1]FI åtg 140 mnkr'!P22-'[1]FI åtg 140 mnkr'!O22-'[1]FI åtg 140 mnkr'!N22-'[1]FI åtg 140 mnkr'!M22-'[1]FI åtg 140 mnkr'!L22/12*6</f>
        <v>#REF!</v>
      </c>
      <c r="AX102" s="65"/>
      <c r="AY102" s="65"/>
      <c r="AZ102" s="65"/>
      <c r="BA102" s="65"/>
      <c r="BB102" s="65"/>
      <c r="BC102" s="65"/>
      <c r="BD102" s="65"/>
      <c r="BE102" s="65"/>
      <c r="BF102" s="65"/>
      <c r="BG102" s="65"/>
      <c r="BH102" s="65"/>
      <c r="BI102" s="4"/>
      <c r="BJ102" s="4"/>
    </row>
    <row r="103" spans="1:62" s="102" customFormat="1" ht="16" outlineLevel="1" x14ac:dyDescent="0.2">
      <c r="A103" s="357">
        <v>75</v>
      </c>
      <c r="B103" s="191" t="s">
        <v>438</v>
      </c>
      <c r="C103" s="168" t="s">
        <v>460</v>
      </c>
      <c r="D103" s="188">
        <v>8040747</v>
      </c>
      <c r="E103" s="168"/>
      <c r="F103" s="168">
        <v>0</v>
      </c>
      <c r="G103" s="168"/>
      <c r="H103" s="168" t="s">
        <v>157</v>
      </c>
      <c r="I103" s="168" t="s">
        <v>269</v>
      </c>
      <c r="J103" s="147">
        <v>32700</v>
      </c>
      <c r="K103" s="108">
        <f>21800+4200-10000</f>
        <v>16000</v>
      </c>
      <c r="L103" s="108">
        <v>5000</v>
      </c>
      <c r="M103" s="108">
        <v>6000</v>
      </c>
      <c r="N103" s="108">
        <v>5700</v>
      </c>
      <c r="O103" s="172">
        <f t="shared" si="63"/>
        <v>16700</v>
      </c>
      <c r="P103" s="108"/>
      <c r="Q103" s="108"/>
      <c r="R103" s="98"/>
      <c r="S103" s="98"/>
      <c r="T103" s="98"/>
      <c r="U103" s="98"/>
      <c r="V103" s="98"/>
      <c r="W103" s="146">
        <f t="shared" si="64"/>
        <v>16700</v>
      </c>
      <c r="X103" s="174">
        <f t="shared" si="65"/>
        <v>32700</v>
      </c>
      <c r="Y103" s="175"/>
      <c r="Z103" s="175" t="s">
        <v>441</v>
      </c>
      <c r="AA103" s="175" t="s">
        <v>442</v>
      </c>
      <c r="AB103" s="64"/>
      <c r="AC103" s="99"/>
      <c r="AD103" s="99"/>
      <c r="AE103" s="99"/>
      <c r="AF103" s="99"/>
      <c r="AG103" s="99"/>
      <c r="AH103" s="99"/>
      <c r="AI103" s="99"/>
      <c r="AJ103" s="99"/>
      <c r="AK103" s="99"/>
      <c r="AL103" s="99"/>
      <c r="AM103" s="64"/>
      <c r="AN103" s="64"/>
      <c r="AO103" s="64"/>
      <c r="AP103" s="64"/>
      <c r="AQ103" s="64" t="e">
        <f>-'[1]FI sop och tvättsug'!L22/12*6</f>
        <v>#REF!</v>
      </c>
      <c r="AR103" s="64" t="e">
        <f>-'[1]FI sop och tvättsug'!M22</f>
        <v>#REF!</v>
      </c>
      <c r="AS103" s="64" t="e">
        <f>-'[1]FI sop och tvättsug'!N22</f>
        <v>#REF!</v>
      </c>
      <c r="AT103" s="64" t="e">
        <f>-'[1]FI sop och tvättsug'!O22</f>
        <v>#REF!</v>
      </c>
      <c r="AU103" s="64" t="e">
        <f>-'[1]FI sop och tvättsug'!P22</f>
        <v>#REF!</v>
      </c>
      <c r="AV103" s="64" t="e">
        <f>-'[1]FI sop och tvättsug'!Q22</f>
        <v>#REF!</v>
      </c>
      <c r="AW103" s="64" t="e">
        <f>-'[1]FI sop och tvättsug'!R22</f>
        <v>#REF!</v>
      </c>
      <c r="AX103" s="65"/>
      <c r="AY103" s="65"/>
      <c r="AZ103" s="65"/>
      <c r="BA103" s="65"/>
      <c r="BB103" s="65"/>
      <c r="BC103" s="65"/>
      <c r="BD103" s="65"/>
      <c r="BE103" s="65"/>
      <c r="BF103" s="65"/>
      <c r="BG103" s="65"/>
      <c r="BH103" s="65"/>
      <c r="BI103" s="4"/>
      <c r="BJ103" s="4"/>
    </row>
    <row r="104" spans="1:62" s="102" customFormat="1" ht="16" outlineLevel="1" x14ac:dyDescent="0.2">
      <c r="A104" s="357">
        <v>76</v>
      </c>
      <c r="B104" s="191" t="s">
        <v>438</v>
      </c>
      <c r="C104" s="168" t="s">
        <v>461</v>
      </c>
      <c r="D104" s="188"/>
      <c r="E104" s="168"/>
      <c r="F104" s="168">
        <v>1</v>
      </c>
      <c r="G104" s="168"/>
      <c r="H104" s="168" t="s">
        <v>157</v>
      </c>
      <c r="I104" s="168" t="s">
        <v>200</v>
      </c>
      <c r="J104" s="147"/>
      <c r="K104" s="108">
        <f>4000+6000</f>
        <v>10000</v>
      </c>
      <c r="L104" s="108">
        <v>7000</v>
      </c>
      <c r="M104" s="108">
        <v>7000</v>
      </c>
      <c r="N104" s="108">
        <v>7000</v>
      </c>
      <c r="O104" s="172">
        <f t="shared" si="63"/>
        <v>21000</v>
      </c>
      <c r="P104" s="108"/>
      <c r="Q104" s="108"/>
      <c r="R104" s="98"/>
      <c r="S104" s="98"/>
      <c r="T104" s="98"/>
      <c r="U104" s="98"/>
      <c r="V104" s="98"/>
      <c r="W104" s="146">
        <f t="shared" si="64"/>
        <v>21000</v>
      </c>
      <c r="X104" s="174">
        <f t="shared" si="65"/>
        <v>31000</v>
      </c>
      <c r="Y104" s="175"/>
      <c r="Z104" s="175" t="s">
        <v>441</v>
      </c>
      <c r="AA104" s="175" t="s">
        <v>442</v>
      </c>
      <c r="AB104" s="64"/>
      <c r="AC104" s="99"/>
      <c r="AD104" s="99"/>
      <c r="AE104" s="99"/>
      <c r="AF104" s="99"/>
      <c r="AG104" s="99"/>
      <c r="AH104" s="99"/>
      <c r="AI104" s="99"/>
      <c r="AJ104" s="99"/>
      <c r="AK104" s="99"/>
      <c r="AL104" s="99"/>
      <c r="AM104" s="64"/>
      <c r="AN104" s="64"/>
      <c r="AO104" s="64"/>
      <c r="AP104" s="64"/>
      <c r="AQ104" s="64" t="e">
        <f>-'[1]Inftastrukt åtg'!L22/12*6</f>
        <v>#REF!</v>
      </c>
      <c r="AR104" s="64" t="e">
        <f>-'[1]Inftastrukt åtg'!M22/12*6</f>
        <v>#REF!</v>
      </c>
      <c r="AS104" s="64" t="e">
        <f>-'[1]Inftastrukt åtg'!N22/12*6</f>
        <v>#REF!</v>
      </c>
      <c r="AT104" s="64" t="e">
        <f>-'[1]Inftastrukt åtg'!O22/12*6</f>
        <v>#REF!</v>
      </c>
      <c r="AU104" s="64" t="e">
        <f>-'[1]Inftastrukt åtg'!P22/12*6</f>
        <v>#REF!</v>
      </c>
      <c r="AV104" s="64" t="e">
        <f>-'[1]Inftastrukt åtg'!Q22/12*6</f>
        <v>#REF!</v>
      </c>
      <c r="AW104" s="64" t="e">
        <f>-'[1]Inftastrukt åtg'!R22/12*6</f>
        <v>#REF!</v>
      </c>
      <c r="AX104" s="65"/>
      <c r="AY104" s="65"/>
      <c r="AZ104" s="65"/>
      <c r="BA104" s="65"/>
      <c r="BB104" s="65"/>
      <c r="BC104" s="65"/>
      <c r="BD104" s="65"/>
      <c r="BE104" s="65"/>
      <c r="BF104" s="65"/>
      <c r="BG104" s="65"/>
      <c r="BH104" s="65"/>
      <c r="BI104" s="4"/>
      <c r="BJ104" s="4"/>
    </row>
    <row r="105" spans="1:62" s="102" customFormat="1" ht="32" outlineLevel="1" x14ac:dyDescent="0.2">
      <c r="A105" s="357">
        <v>77</v>
      </c>
      <c r="B105" s="191" t="s">
        <v>438</v>
      </c>
      <c r="C105" s="168" t="s">
        <v>462</v>
      </c>
      <c r="D105" s="177" t="s">
        <v>463</v>
      </c>
      <c r="E105" s="168" t="s">
        <v>464</v>
      </c>
      <c r="F105" s="168">
        <v>1</v>
      </c>
      <c r="G105" s="168"/>
      <c r="H105" s="168" t="s">
        <v>157</v>
      </c>
      <c r="I105" s="168" t="s">
        <v>269</v>
      </c>
      <c r="J105" s="147">
        <v>100000</v>
      </c>
      <c r="K105" s="147">
        <f>26933+39600-33</f>
        <v>66500</v>
      </c>
      <c r="L105" s="147">
        <f>45500-5000</f>
        <v>40500</v>
      </c>
      <c r="M105" s="108"/>
      <c r="N105" s="108"/>
      <c r="O105" s="172">
        <f t="shared" si="63"/>
        <v>40500</v>
      </c>
      <c r="P105" s="108"/>
      <c r="Q105" s="98"/>
      <c r="R105" s="98"/>
      <c r="S105" s="98"/>
      <c r="T105" s="98"/>
      <c r="U105" s="98"/>
      <c r="V105" s="98"/>
      <c r="W105" s="146">
        <f t="shared" si="64"/>
        <v>40500</v>
      </c>
      <c r="X105" s="174">
        <f t="shared" si="65"/>
        <v>107000</v>
      </c>
      <c r="Y105" s="175"/>
      <c r="Z105" s="175" t="s">
        <v>441</v>
      </c>
      <c r="AA105" s="175" t="s">
        <v>442</v>
      </c>
      <c r="AB105" s="64"/>
      <c r="AC105" s="99"/>
      <c r="AD105" s="99"/>
      <c r="AE105" s="99"/>
      <c r="AF105" s="99"/>
      <c r="AG105" s="99"/>
      <c r="AH105" s="99"/>
      <c r="AI105" s="99"/>
      <c r="AJ105" s="99"/>
      <c r="AK105" s="99"/>
      <c r="AL105" s="99"/>
      <c r="AM105" s="64"/>
      <c r="AN105" s="64"/>
      <c r="AO105" s="180" t="e">
        <f>-'[1]Energiåtg fr 2015 s peng'!L22/12*6</f>
        <v>#REF!</v>
      </c>
      <c r="AP105" s="180" t="e">
        <f>-'[1]Energiåtg fr 2015 s peng'!M22</f>
        <v>#REF!</v>
      </c>
      <c r="AQ105" s="180" t="e">
        <f>-'[1]Energiåtg fr 2015 s peng'!N22</f>
        <v>#REF!</v>
      </c>
      <c r="AR105" s="180" t="e">
        <f>-'[1]Energiåtg fr 2015 s peng'!O22</f>
        <v>#REF!</v>
      </c>
      <c r="AS105" s="180" t="e">
        <f>-'[1]Energiåtg fr 2015 s peng'!P22</f>
        <v>#REF!</v>
      </c>
      <c r="AT105" s="180" t="e">
        <f>-'[1]Energiåtg fr 2015 s peng'!Q22</f>
        <v>#REF!</v>
      </c>
      <c r="AU105" s="180" t="e">
        <f>-'[1]Energiåtg fr 2015 s peng'!R22</f>
        <v>#REF!</v>
      </c>
      <c r="AV105" s="180" t="e">
        <f>-'[1]Energiåtg fr 2015 s peng'!S22</f>
        <v>#REF!</v>
      </c>
      <c r="AW105" s="180" t="e">
        <f>-'[1]Energiåtg fr 2015 s peng'!T22</f>
        <v>#REF!</v>
      </c>
      <c r="AX105" s="65"/>
      <c r="AY105" s="65"/>
      <c r="AZ105" s="65"/>
      <c r="BA105" s="65"/>
      <c r="BB105" s="65"/>
      <c r="BC105" s="65"/>
      <c r="BD105" s="65"/>
      <c r="BE105" s="65"/>
      <c r="BF105" s="65"/>
      <c r="BG105" s="65"/>
      <c r="BH105" s="65"/>
      <c r="BI105" s="4"/>
      <c r="BJ105" s="4"/>
    </row>
    <row r="106" spans="1:62" s="257" customFormat="1" ht="16" x14ac:dyDescent="0.2">
      <c r="A106" s="359"/>
      <c r="B106" s="253" t="s">
        <v>194</v>
      </c>
      <c r="C106" s="254" t="s">
        <v>465</v>
      </c>
      <c r="D106" s="255"/>
      <c r="E106" s="227"/>
      <c r="F106" s="227"/>
      <c r="G106" s="227"/>
      <c r="H106" s="254"/>
      <c r="I106" s="254"/>
      <c r="J106" s="78">
        <f t="shared" ref="J106:X106" si="69">SUM(J94:J105)</f>
        <v>274550</v>
      </c>
      <c r="K106" s="78">
        <f t="shared" si="69"/>
        <v>204500</v>
      </c>
      <c r="L106" s="78">
        <f t="shared" si="69"/>
        <v>244500</v>
      </c>
      <c r="M106" s="78">
        <f t="shared" si="69"/>
        <v>184000</v>
      </c>
      <c r="N106" s="78">
        <f t="shared" si="69"/>
        <v>149700</v>
      </c>
      <c r="O106" s="78">
        <f t="shared" si="69"/>
        <v>578200</v>
      </c>
      <c r="P106" s="78">
        <f t="shared" si="69"/>
        <v>148000</v>
      </c>
      <c r="Q106" s="78">
        <f t="shared" si="69"/>
        <v>160000</v>
      </c>
      <c r="R106" s="78">
        <f t="shared" si="69"/>
        <v>163000</v>
      </c>
      <c r="S106" s="78">
        <f t="shared" si="69"/>
        <v>150000</v>
      </c>
      <c r="T106" s="78">
        <f t="shared" si="69"/>
        <v>150000</v>
      </c>
      <c r="U106" s="78">
        <f t="shared" si="69"/>
        <v>150000</v>
      </c>
      <c r="V106" s="78">
        <f t="shared" si="69"/>
        <v>150000</v>
      </c>
      <c r="W106" s="78">
        <f t="shared" si="69"/>
        <v>1649200</v>
      </c>
      <c r="X106" s="78">
        <f t="shared" si="69"/>
        <v>1853700</v>
      </c>
      <c r="Y106" s="78"/>
      <c r="Z106" s="78"/>
      <c r="AA106" s="78"/>
      <c r="AB106" s="78">
        <f t="shared" ref="AB106:BH106" si="70">SUM(AB94:AB105)</f>
        <v>0</v>
      </c>
      <c r="AC106" s="78">
        <f t="shared" si="70"/>
        <v>0</v>
      </c>
      <c r="AD106" s="78">
        <f t="shared" si="70"/>
        <v>0</v>
      </c>
      <c r="AE106" s="78">
        <f t="shared" si="70"/>
        <v>0</v>
      </c>
      <c r="AF106" s="78">
        <f t="shared" si="70"/>
        <v>0</v>
      </c>
      <c r="AG106" s="78">
        <f t="shared" si="70"/>
        <v>0</v>
      </c>
      <c r="AH106" s="78">
        <f t="shared" si="70"/>
        <v>0</v>
      </c>
      <c r="AI106" s="78">
        <f t="shared" si="70"/>
        <v>0</v>
      </c>
      <c r="AJ106" s="78">
        <f t="shared" si="70"/>
        <v>0</v>
      </c>
      <c r="AK106" s="78">
        <f t="shared" si="70"/>
        <v>0</v>
      </c>
      <c r="AL106" s="78">
        <f t="shared" si="70"/>
        <v>0</v>
      </c>
      <c r="AM106" s="78">
        <f t="shared" si="70"/>
        <v>0</v>
      </c>
      <c r="AN106" s="78">
        <f t="shared" si="70"/>
        <v>7000</v>
      </c>
      <c r="AO106" s="78" t="e">
        <f t="shared" si="70"/>
        <v>#REF!</v>
      </c>
      <c r="AP106" s="78" t="e">
        <f t="shared" si="70"/>
        <v>#REF!</v>
      </c>
      <c r="AQ106" s="78" t="e">
        <f t="shared" si="70"/>
        <v>#REF!</v>
      </c>
      <c r="AR106" s="78" t="e">
        <f t="shared" si="70"/>
        <v>#REF!</v>
      </c>
      <c r="AS106" s="78" t="e">
        <f t="shared" si="70"/>
        <v>#REF!</v>
      </c>
      <c r="AT106" s="78" t="e">
        <f t="shared" si="70"/>
        <v>#REF!</v>
      </c>
      <c r="AU106" s="78" t="e">
        <f t="shared" si="70"/>
        <v>#REF!</v>
      </c>
      <c r="AV106" s="78" t="e">
        <f t="shared" si="70"/>
        <v>#REF!</v>
      </c>
      <c r="AW106" s="78" t="e">
        <f t="shared" si="70"/>
        <v>#REF!</v>
      </c>
      <c r="AX106" s="78">
        <f t="shared" si="70"/>
        <v>0</v>
      </c>
      <c r="AY106" s="78">
        <f t="shared" si="70"/>
        <v>0</v>
      </c>
      <c r="AZ106" s="78">
        <f t="shared" si="70"/>
        <v>0</v>
      </c>
      <c r="BA106" s="78">
        <f t="shared" si="70"/>
        <v>0</v>
      </c>
      <c r="BB106" s="78">
        <f t="shared" si="70"/>
        <v>0</v>
      </c>
      <c r="BC106" s="78">
        <f t="shared" si="70"/>
        <v>0</v>
      </c>
      <c r="BD106" s="78">
        <f t="shared" si="70"/>
        <v>0</v>
      </c>
      <c r="BE106" s="78">
        <f t="shared" si="70"/>
        <v>0</v>
      </c>
      <c r="BF106" s="78">
        <f t="shared" si="70"/>
        <v>0</v>
      </c>
      <c r="BG106" s="78">
        <f t="shared" si="70"/>
        <v>0</v>
      </c>
      <c r="BH106" s="78">
        <f t="shared" si="70"/>
        <v>0</v>
      </c>
      <c r="BI106" s="256"/>
      <c r="BJ106" s="262"/>
    </row>
    <row r="107" spans="1:62" s="111" customFormat="1" ht="16" x14ac:dyDescent="0.2">
      <c r="A107" s="359"/>
      <c r="B107" s="261" t="s">
        <v>194</v>
      </c>
      <c r="C107" s="191"/>
      <c r="D107" s="188"/>
      <c r="E107" s="168"/>
      <c r="F107" s="168"/>
      <c r="G107" s="168"/>
      <c r="H107" s="168"/>
      <c r="I107" s="168"/>
      <c r="J107" s="147"/>
      <c r="K107" s="108"/>
      <c r="L107" s="108"/>
      <c r="M107" s="263"/>
      <c r="N107" s="263"/>
      <c r="O107" s="146">
        <f>SUM(L107:M107)</f>
        <v>0</v>
      </c>
      <c r="P107" s="263"/>
      <c r="Q107" s="263"/>
      <c r="R107" s="263"/>
      <c r="S107" s="263"/>
      <c r="T107" s="263"/>
      <c r="U107" s="263"/>
      <c r="V107" s="263"/>
      <c r="W107" s="146"/>
      <c r="X107" s="189"/>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9"/>
      <c r="BJ107" s="109"/>
    </row>
    <row r="108" spans="1:62" s="1" customFormat="1" ht="18" x14ac:dyDescent="0.2">
      <c r="A108" s="360"/>
      <c r="B108" s="265"/>
      <c r="C108" s="265" t="s">
        <v>466</v>
      </c>
      <c r="D108" s="266"/>
      <c r="E108" s="267"/>
      <c r="F108" s="267"/>
      <c r="G108" s="267"/>
      <c r="H108" s="268"/>
      <c r="I108" s="268"/>
      <c r="J108" s="269" t="e">
        <f t="shared" ref="J108:X108" si="71">J45+J65+J77+J83+J90+J106</f>
        <v>#REF!</v>
      </c>
      <c r="K108" s="269" t="e">
        <f t="shared" si="71"/>
        <v>#REF!</v>
      </c>
      <c r="L108" s="269">
        <f t="shared" si="71"/>
        <v>1498334</v>
      </c>
      <c r="M108" s="269">
        <f t="shared" si="71"/>
        <v>1035406</v>
      </c>
      <c r="N108" s="269">
        <f t="shared" si="71"/>
        <v>817477</v>
      </c>
      <c r="O108" s="269">
        <f t="shared" si="71"/>
        <v>3351217</v>
      </c>
      <c r="P108" s="269">
        <f t="shared" si="71"/>
        <v>790422</v>
      </c>
      <c r="Q108" s="269">
        <f t="shared" si="71"/>
        <v>587200</v>
      </c>
      <c r="R108" s="269">
        <f t="shared" si="71"/>
        <v>478974</v>
      </c>
      <c r="S108" s="269">
        <f t="shared" si="71"/>
        <v>192500</v>
      </c>
      <c r="T108" s="269">
        <f t="shared" si="71"/>
        <v>155000</v>
      </c>
      <c r="U108" s="269">
        <f t="shared" si="71"/>
        <v>155000</v>
      </c>
      <c r="V108" s="269">
        <f t="shared" si="71"/>
        <v>150000</v>
      </c>
      <c r="W108" s="269">
        <f t="shared" si="71"/>
        <v>5860313</v>
      </c>
      <c r="X108" s="269" t="e">
        <f t="shared" si="71"/>
        <v>#REF!</v>
      </c>
      <c r="Y108" s="269"/>
      <c r="Z108" s="269"/>
      <c r="AA108" s="269"/>
      <c r="AB108" s="269">
        <f t="shared" ref="AB108:BH108" si="72">AB65+AB77+AB83+AB90+AB106</f>
        <v>0</v>
      </c>
      <c r="AC108" s="269" t="e">
        <f t="shared" si="72"/>
        <v>#REF!</v>
      </c>
      <c r="AD108" s="269" t="e">
        <f t="shared" si="72"/>
        <v>#REF!</v>
      </c>
      <c r="AE108" s="269" t="e">
        <f t="shared" si="72"/>
        <v>#REF!</v>
      </c>
      <c r="AF108" s="269" t="e">
        <f t="shared" si="72"/>
        <v>#REF!</v>
      </c>
      <c r="AG108" s="269" t="e">
        <f t="shared" si="72"/>
        <v>#REF!</v>
      </c>
      <c r="AH108" s="269" t="e">
        <f t="shared" si="72"/>
        <v>#REF!</v>
      </c>
      <c r="AI108" s="269" t="e">
        <f t="shared" si="72"/>
        <v>#REF!</v>
      </c>
      <c r="AJ108" s="269" t="e">
        <f t="shared" si="72"/>
        <v>#REF!</v>
      </c>
      <c r="AK108" s="269" t="e">
        <f t="shared" si="72"/>
        <v>#REF!</v>
      </c>
      <c r="AL108" s="269" t="e">
        <f t="shared" si="72"/>
        <v>#REF!</v>
      </c>
      <c r="AM108" s="269">
        <f t="shared" si="72"/>
        <v>0</v>
      </c>
      <c r="AN108" s="269" t="e">
        <f t="shared" si="72"/>
        <v>#REF!</v>
      </c>
      <c r="AO108" s="269" t="e">
        <f t="shared" si="72"/>
        <v>#REF!</v>
      </c>
      <c r="AP108" s="269" t="e">
        <f t="shared" si="72"/>
        <v>#REF!</v>
      </c>
      <c r="AQ108" s="269" t="e">
        <f t="shared" si="72"/>
        <v>#REF!</v>
      </c>
      <c r="AR108" s="269" t="e">
        <f t="shared" si="72"/>
        <v>#REF!</v>
      </c>
      <c r="AS108" s="269" t="e">
        <f t="shared" si="72"/>
        <v>#REF!</v>
      </c>
      <c r="AT108" s="269" t="e">
        <f t="shared" si="72"/>
        <v>#REF!</v>
      </c>
      <c r="AU108" s="269" t="e">
        <f t="shared" si="72"/>
        <v>#REF!</v>
      </c>
      <c r="AV108" s="269" t="e">
        <f t="shared" si="72"/>
        <v>#REF!</v>
      </c>
      <c r="AW108" s="269" t="e">
        <f t="shared" si="72"/>
        <v>#REF!</v>
      </c>
      <c r="AX108" s="269">
        <f t="shared" si="72"/>
        <v>0</v>
      </c>
      <c r="AY108" s="269">
        <f t="shared" si="72"/>
        <v>0</v>
      </c>
      <c r="AZ108" s="269">
        <f t="shared" si="72"/>
        <v>11748</v>
      </c>
      <c r="BA108" s="269">
        <f t="shared" si="72"/>
        <v>0</v>
      </c>
      <c r="BB108" s="269">
        <f t="shared" si="72"/>
        <v>29217</v>
      </c>
      <c r="BC108" s="269">
        <f t="shared" si="72"/>
        <v>0</v>
      </c>
      <c r="BD108" s="269">
        <f t="shared" si="72"/>
        <v>46942</v>
      </c>
      <c r="BE108" s="269">
        <f t="shared" si="72"/>
        <v>0</v>
      </c>
      <c r="BF108" s="269">
        <f t="shared" si="72"/>
        <v>0</v>
      </c>
      <c r="BG108" s="269">
        <f t="shared" si="72"/>
        <v>0</v>
      </c>
      <c r="BH108" s="269">
        <f t="shared" si="72"/>
        <v>0</v>
      </c>
      <c r="BI108" s="4"/>
      <c r="BJ108" s="4"/>
    </row>
    <row r="109" spans="1:62" x14ac:dyDescent="0.15">
      <c r="A109" s="358"/>
      <c r="B109" s="157" t="s">
        <v>194</v>
      </c>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c r="AZ109" s="271"/>
      <c r="BA109" s="272"/>
      <c r="BB109" s="272"/>
      <c r="BC109" s="272"/>
      <c r="BD109" s="272"/>
      <c r="BE109" s="272"/>
      <c r="BF109" s="272"/>
      <c r="BG109" s="272"/>
      <c r="BH109" s="272"/>
    </row>
    <row r="110" spans="1:62" s="25" customFormat="1" ht="14" hidden="1" x14ac:dyDescent="0.15">
      <c r="A110" s="361"/>
      <c r="D110" s="274"/>
      <c r="E110" s="275"/>
      <c r="F110" s="275"/>
      <c r="G110" s="275"/>
      <c r="H110" s="275"/>
      <c r="I110" s="275"/>
      <c r="J110" s="276"/>
      <c r="K110" s="277"/>
      <c r="L110" s="277"/>
      <c r="M110" s="277"/>
      <c r="N110" s="277"/>
      <c r="O110" s="278"/>
      <c r="P110" s="277"/>
      <c r="Q110" s="277"/>
      <c r="R110" s="277"/>
      <c r="S110" s="277"/>
      <c r="T110" s="277"/>
      <c r="U110" s="277"/>
      <c r="V110" s="277"/>
      <c r="W110" s="277"/>
      <c r="X110" s="278"/>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4"/>
      <c r="BJ110" s="4"/>
    </row>
    <row r="111" spans="1:62" s="4" customFormat="1" ht="18" hidden="1" x14ac:dyDescent="0.2">
      <c r="A111" s="358"/>
      <c r="B111" s="1"/>
      <c r="C111" s="1" t="s">
        <v>467</v>
      </c>
      <c r="D111" s="68"/>
      <c r="E111" s="103"/>
      <c r="F111" s="103"/>
      <c r="G111" s="103"/>
      <c r="H111" s="103"/>
      <c r="I111" s="103"/>
      <c r="J111" s="5"/>
      <c r="K111" s="48"/>
      <c r="L111" s="48"/>
      <c r="M111" s="48"/>
      <c r="N111" s="48"/>
      <c r="O111" s="279"/>
      <c r="P111" s="48"/>
      <c r="Q111" s="48"/>
      <c r="R111" s="48"/>
      <c r="S111" s="48"/>
      <c r="T111" s="48"/>
      <c r="U111" s="48"/>
      <c r="V111" s="48"/>
      <c r="W111" s="48"/>
      <c r="X111" s="279"/>
      <c r="Y111" s="48"/>
      <c r="Z111" s="48"/>
      <c r="AA111" s="48"/>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0"/>
      <c r="AZ111" s="280"/>
      <c r="BA111" s="280"/>
      <c r="BB111" s="280"/>
      <c r="BC111" s="280"/>
      <c r="BD111" s="280"/>
      <c r="BE111" s="280"/>
      <c r="BF111" s="280"/>
      <c r="BG111" s="280"/>
      <c r="BH111" s="280"/>
    </row>
    <row r="112" spans="1:62" s="102" customFormat="1" ht="16" hidden="1" x14ac:dyDescent="0.2">
      <c r="A112" s="357"/>
      <c r="B112" s="229"/>
      <c r="C112" s="168"/>
      <c r="D112" s="216"/>
      <c r="E112" s="170"/>
      <c r="F112" s="170"/>
      <c r="G112" s="170"/>
      <c r="H112" s="170"/>
      <c r="I112" s="170"/>
      <c r="J112" s="218"/>
      <c r="K112" s="189"/>
      <c r="L112" s="60"/>
      <c r="M112" s="60"/>
      <c r="N112" s="60"/>
      <c r="O112" s="172"/>
      <c r="P112" s="60"/>
      <c r="Q112" s="97"/>
      <c r="R112" s="97"/>
      <c r="S112" s="97"/>
      <c r="T112" s="97"/>
      <c r="U112" s="97"/>
      <c r="V112" s="97"/>
      <c r="W112" s="172"/>
      <c r="X112" s="174"/>
      <c r="Y112" s="175"/>
      <c r="Z112" s="175"/>
      <c r="AA112" s="175"/>
      <c r="AB112" s="64"/>
      <c r="AC112" s="99"/>
      <c r="AD112" s="99"/>
      <c r="AE112" s="99"/>
      <c r="AF112" s="99"/>
      <c r="AG112" s="99"/>
      <c r="AH112" s="99"/>
      <c r="AI112" s="99"/>
      <c r="AJ112" s="99"/>
      <c r="AK112" s="99"/>
      <c r="AL112" s="99"/>
      <c r="AM112" s="64"/>
      <c r="AN112" s="64"/>
      <c r="AO112" s="64"/>
      <c r="AP112" s="64"/>
      <c r="AQ112" s="64"/>
      <c r="AR112" s="64"/>
      <c r="AS112" s="64"/>
      <c r="AT112" s="64"/>
      <c r="AU112" s="64"/>
      <c r="AV112" s="64"/>
      <c r="AW112" s="64"/>
      <c r="AX112" s="65"/>
      <c r="AY112" s="65"/>
      <c r="AZ112" s="65"/>
      <c r="BA112" s="65"/>
      <c r="BB112" s="65"/>
      <c r="BC112" s="65"/>
      <c r="BD112" s="65"/>
      <c r="BE112" s="65"/>
      <c r="BF112" s="65"/>
      <c r="BG112" s="65"/>
      <c r="BH112" s="65"/>
      <c r="BI112" s="4"/>
      <c r="BJ112" s="4"/>
    </row>
    <row r="113" spans="1:69" s="257" customFormat="1" ht="32" hidden="1" x14ac:dyDescent="0.2">
      <c r="A113" s="359"/>
      <c r="B113" s="281"/>
      <c r="C113" s="281" t="s">
        <v>468</v>
      </c>
      <c r="D113" s="282"/>
      <c r="E113" s="283"/>
      <c r="F113" s="283"/>
      <c r="G113" s="283"/>
      <c r="H113" s="281"/>
      <c r="I113" s="281"/>
      <c r="J113" s="284"/>
      <c r="K113" s="284">
        <f t="shared" ref="K113:U113" si="73">SUM(K112:K112)</f>
        <v>0</v>
      </c>
      <c r="L113" s="284">
        <f t="shared" si="73"/>
        <v>0</v>
      </c>
      <c r="M113" s="284">
        <f t="shared" si="73"/>
        <v>0</v>
      </c>
      <c r="N113" s="284">
        <f t="shared" si="73"/>
        <v>0</v>
      </c>
      <c r="O113" s="284">
        <f t="shared" si="73"/>
        <v>0</v>
      </c>
      <c r="P113" s="284">
        <f t="shared" si="73"/>
        <v>0</v>
      </c>
      <c r="Q113" s="284">
        <f t="shared" si="73"/>
        <v>0</v>
      </c>
      <c r="R113" s="284">
        <f t="shared" si="73"/>
        <v>0</v>
      </c>
      <c r="S113" s="284">
        <f t="shared" si="73"/>
        <v>0</v>
      </c>
      <c r="T113" s="284">
        <f t="shared" si="73"/>
        <v>0</v>
      </c>
      <c r="U113" s="284">
        <f t="shared" si="73"/>
        <v>0</v>
      </c>
      <c r="V113" s="284"/>
      <c r="W113" s="284">
        <f>SUM(W112:W112)</f>
        <v>0</v>
      </c>
      <c r="X113" s="284">
        <f>SUM(X112:X112)</f>
        <v>0</v>
      </c>
      <c r="Y113" s="284">
        <f>SUM(Y112:Y112)</f>
        <v>0</v>
      </c>
      <c r="Z113" s="284"/>
      <c r="AA113" s="284">
        <f t="shared" ref="AA113:BH113" si="74">SUM(AA112:AA112)</f>
        <v>0</v>
      </c>
      <c r="AB113" s="284">
        <f t="shared" si="74"/>
        <v>0</v>
      </c>
      <c r="AC113" s="284">
        <f t="shared" si="74"/>
        <v>0</v>
      </c>
      <c r="AD113" s="284">
        <f t="shared" si="74"/>
        <v>0</v>
      </c>
      <c r="AE113" s="284">
        <f t="shared" si="74"/>
        <v>0</v>
      </c>
      <c r="AF113" s="284">
        <f t="shared" si="74"/>
        <v>0</v>
      </c>
      <c r="AG113" s="284">
        <f t="shared" si="74"/>
        <v>0</v>
      </c>
      <c r="AH113" s="284">
        <f t="shared" si="74"/>
        <v>0</v>
      </c>
      <c r="AI113" s="284">
        <f t="shared" si="74"/>
        <v>0</v>
      </c>
      <c r="AJ113" s="284">
        <f t="shared" si="74"/>
        <v>0</v>
      </c>
      <c r="AK113" s="284">
        <f t="shared" si="74"/>
        <v>0</v>
      </c>
      <c r="AL113" s="284"/>
      <c r="AM113" s="284">
        <f t="shared" si="74"/>
        <v>0</v>
      </c>
      <c r="AN113" s="284">
        <f t="shared" si="74"/>
        <v>0</v>
      </c>
      <c r="AO113" s="284">
        <f t="shared" si="74"/>
        <v>0</v>
      </c>
      <c r="AP113" s="284">
        <f t="shared" si="74"/>
        <v>0</v>
      </c>
      <c r="AQ113" s="284">
        <f t="shared" si="74"/>
        <v>0</v>
      </c>
      <c r="AR113" s="284">
        <f t="shared" si="74"/>
        <v>0</v>
      </c>
      <c r="AS113" s="284">
        <f t="shared" si="74"/>
        <v>0</v>
      </c>
      <c r="AT113" s="284">
        <f t="shared" si="74"/>
        <v>0</v>
      </c>
      <c r="AU113" s="284">
        <f t="shared" si="74"/>
        <v>0</v>
      </c>
      <c r="AV113" s="284">
        <f t="shared" si="74"/>
        <v>0</v>
      </c>
      <c r="AW113" s="284"/>
      <c r="AX113" s="284">
        <f t="shared" si="74"/>
        <v>0</v>
      </c>
      <c r="AY113" s="284">
        <f t="shared" si="74"/>
        <v>0</v>
      </c>
      <c r="AZ113" s="284">
        <f t="shared" si="74"/>
        <v>0</v>
      </c>
      <c r="BA113" s="284">
        <f t="shared" si="74"/>
        <v>0</v>
      </c>
      <c r="BB113" s="284">
        <f t="shared" si="74"/>
        <v>0</v>
      </c>
      <c r="BC113" s="284">
        <f t="shared" si="74"/>
        <v>0</v>
      </c>
      <c r="BD113" s="284">
        <f t="shared" si="74"/>
        <v>0</v>
      </c>
      <c r="BE113" s="284">
        <f t="shared" si="74"/>
        <v>0</v>
      </c>
      <c r="BF113" s="284">
        <f t="shared" si="74"/>
        <v>0</v>
      </c>
      <c r="BG113" s="284">
        <f t="shared" si="74"/>
        <v>0</v>
      </c>
      <c r="BH113" s="284">
        <f t="shared" si="74"/>
        <v>0</v>
      </c>
      <c r="BI113" s="256"/>
      <c r="BJ113" s="256"/>
    </row>
    <row r="114" spans="1:69" hidden="1" x14ac:dyDescent="0.15">
      <c r="A114" s="358"/>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row>
    <row r="115" spans="1:69" hidden="1" x14ac:dyDescent="0.15">
      <c r="A115" s="358"/>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row>
    <row r="116" spans="1:69" hidden="1" x14ac:dyDescent="0.15">
      <c r="A116" s="358"/>
    </row>
    <row r="117" spans="1:69" s="67" customFormat="1" ht="16" x14ac:dyDescent="0.2">
      <c r="A117" s="357"/>
      <c r="D117" s="58"/>
      <c r="E117" s="74"/>
      <c r="F117" s="74"/>
      <c r="G117" s="74"/>
      <c r="H117" s="74"/>
      <c r="I117" s="74"/>
      <c r="J117" s="122"/>
      <c r="L117" s="123"/>
      <c r="M117" s="123"/>
      <c r="O117" s="286"/>
      <c r="X117" s="126"/>
    </row>
    <row r="118" spans="1:69" s="291" customFormat="1" ht="48" hidden="1" x14ac:dyDescent="0.2">
      <c r="A118" s="358"/>
      <c r="B118" s="288"/>
      <c r="C118" s="288"/>
      <c r="D118" s="289"/>
      <c r="E118" s="290"/>
      <c r="F118" s="290"/>
      <c r="G118" s="290"/>
      <c r="H118" s="290"/>
      <c r="I118" s="343"/>
      <c r="J118" s="51" t="s">
        <v>469</v>
      </c>
      <c r="K118" s="51" t="s">
        <v>6</v>
      </c>
      <c r="L118" s="52" t="s">
        <v>7</v>
      </c>
      <c r="M118" s="52" t="s">
        <v>8</v>
      </c>
      <c r="N118" s="52" t="s">
        <v>9</v>
      </c>
      <c r="O118" s="52" t="s">
        <v>470</v>
      </c>
      <c r="P118" s="52" t="s">
        <v>11</v>
      </c>
      <c r="Q118" s="52"/>
      <c r="R118" s="52"/>
      <c r="S118" s="52"/>
      <c r="T118" s="52"/>
      <c r="U118" s="52"/>
      <c r="V118" s="51"/>
      <c r="W118" s="52"/>
      <c r="X118" s="52"/>
    </row>
    <row r="119" spans="1:69" s="67" customFormat="1" ht="16" hidden="1" x14ac:dyDescent="0.2">
      <c r="A119" s="357"/>
      <c r="D119" s="58"/>
      <c r="E119" s="74"/>
      <c r="F119" s="74"/>
      <c r="G119" s="74"/>
      <c r="H119" s="74"/>
      <c r="I119" s="170" t="s">
        <v>200</v>
      </c>
      <c r="J119" s="175" t="e">
        <f>'inv plan efter år 2024'!J30+J45+J55+'inv plan efter år 2024'!J20+J49+'inv plan efter år 2024'!J21+J50+'inv plan efter år 2024'!J22+'inv plan efter år 2024'!J26+'inv plan efter år 2024'!J23+J51+J52+J53+'inv plan efter år 2024'!J24+'inv plan efter år 2024'!J25+J54+J68+J69+'Inv plan 2018-2027 underlag RPB'!J70+J71+J72+J73+J74+'inv plan efter år 2024'!J37+J75+'inv plan efter år 2024'!J58+J80+'inv plan efter år 2024'!J41+'inv plan efter år 2024'!J42+'inv plan efter år 2024'!J43+'inv plan efter år 2024'!J44+'inv plan efter år 2024'!J45+#REF!+'inv plan efter år 2024'!J60+'inv plan efter år 2024'!J62+'inv plan efter år 2024'!J59+J88+'inv plan efter år 2024'!J65+'inv plan efter år 2024'!J66+J94+J95+J96+J97+J98</f>
        <v>#REF!</v>
      </c>
      <c r="K119" s="175" t="e">
        <f>'inv plan efter år 2024'!K30+K45+K55+'inv plan efter år 2024'!K20+K49+'inv plan efter år 2024'!K21+K50+'inv plan efter år 2024'!K22+'inv plan efter år 2024'!K26+'inv plan efter år 2024'!K23+K51+K52+K53+'inv plan efter år 2024'!K24+'inv plan efter år 2024'!K25+K54+K68+K69+'Inv plan 2018-2027 underlag RPB'!K70+K71+K72+K73+K74+'inv plan efter år 2024'!K37+K75+'inv plan efter år 2024'!K58+K80+'inv plan efter år 2024'!K41+'inv plan efter år 2024'!K42+'inv plan efter år 2024'!K43+'inv plan efter år 2024'!K44+'inv plan efter år 2024'!K45+#REF!+'inv plan efter år 2024'!K60+'inv plan efter år 2024'!K62+'inv plan efter år 2024'!K59+K88+'inv plan efter år 2024'!K65+'inv plan efter år 2024'!K66+K94+K95+K96+K97+K98</f>
        <v>#REF!</v>
      </c>
      <c r="L119" s="175" t="e">
        <f>'inv plan efter år 2024'!L30+L45+L55+'inv plan efter år 2024'!L20+L49+'inv plan efter år 2024'!L21+L50+'inv plan efter år 2024'!L22+'inv plan efter år 2024'!L26+'inv plan efter år 2024'!L23+L51+L52+L53+'inv plan efter år 2024'!L24+'inv plan efter år 2024'!L25+L54+L68+L69+'Inv plan 2018-2027 underlag RPB'!L70+L71+L72+L73+L74+'inv plan efter år 2024'!L37+L75+'inv plan efter år 2024'!L58+L80+'inv plan efter år 2024'!L41+'inv plan efter år 2024'!L42+'inv plan efter år 2024'!L43+'inv plan efter år 2024'!L44+'inv plan efter år 2024'!L45+#REF!+'inv plan efter år 2024'!L60+'inv plan efter år 2024'!L62+'inv plan efter år 2024'!L59+L88+'inv plan efter år 2024'!L65+'inv plan efter år 2024'!L66+L94+L95+L96+L97+L98</f>
        <v>#REF!</v>
      </c>
      <c r="M119" s="175" t="e">
        <f>'inv plan efter år 2024'!M30+M45+M55+'inv plan efter år 2024'!M20+M49+'inv plan efter år 2024'!M21+M50+'inv plan efter år 2024'!M22+'inv plan efter år 2024'!M26+'inv plan efter år 2024'!M23+M51+M52+M53+'inv plan efter år 2024'!M24+'inv plan efter år 2024'!M25+M54+M68+M69+'Inv plan 2018-2027 underlag RPB'!M70+M71+M72+M73+M74+'inv plan efter år 2024'!M37+M75+'inv plan efter år 2024'!M58+M80+'inv plan efter år 2024'!M41+'inv plan efter år 2024'!M42+'inv plan efter år 2024'!M43+'inv plan efter år 2024'!M44+'inv plan efter år 2024'!M45+#REF!+'inv plan efter år 2024'!M60+'inv plan efter år 2024'!M62+'inv plan efter år 2024'!M59+'inv plan efter år 2024'!M61+M88+'inv plan efter år 2024'!M65+'inv plan efter år 2024'!M66+M94+M95+M96+M97+M98</f>
        <v>#REF!</v>
      </c>
      <c r="N119" s="175" t="e">
        <f>'inv plan efter år 2024'!N30+N45+N55+'inv plan efter år 2024'!N20+N49+'inv plan efter år 2024'!N21+N50+'inv plan efter år 2024'!N22+'inv plan efter år 2024'!N26+'inv plan efter år 2024'!N23+N51+N52+P53+'inv plan efter år 2024'!P24+'inv plan efter år 2024'!P25+P54+N68+N69+'Inv plan 2018-2027 underlag RPB'!N70+N71+N72+N73+N74+'inv plan efter år 2024'!N37+N75+'inv plan efter år 2024'!N58+N80+'inv plan efter år 2024'!N41+'inv plan efter år 2024'!N42+'inv plan efter år 2024'!N43+'inv plan efter år 2024'!N44+'inv plan efter år 2024'!N45+#REF!+'inv plan efter år 2024'!N60+'inv plan efter år 2024'!N62+'inv plan efter år 2024'!N59+'inv plan efter år 2024'!N61+N88+'inv plan efter år 2024'!N65+'inv plan efter år 2024'!N66+N94+N95+N96+N97+N98</f>
        <v>#REF!</v>
      </c>
      <c r="O119" s="175" t="e">
        <f>'inv plan efter år 2024'!O30+O45+O55+'inv plan efter år 2024'!O20+O49+'inv plan efter år 2024'!O21+O50+'inv plan efter år 2024'!O22+'inv plan efter år 2024'!O26+'inv plan efter år 2024'!O23+O51+O52+O53+'inv plan efter år 2024'!O24+'inv plan efter år 2024'!O25+O54+O68+O69+'Inv plan 2018-2027 underlag RPB'!O70+O71+O72+O73+O74+'inv plan efter år 2024'!O37+O75+'inv plan efter år 2024'!O58+O80+'inv plan efter år 2024'!O41+'inv plan efter år 2024'!O42+'inv plan efter år 2024'!O43+'inv plan efter år 2024'!O44+'inv plan efter år 2024'!O45+#REF!+'inv plan efter år 2024'!O60+'inv plan efter år 2024'!O62+'inv plan efter år 2024'!O59+'inv plan efter år 2024'!O61+O88+'inv plan efter år 2024'!O65+'inv plan efter år 2024'!O66+O94+O95+O96+O97+O98</f>
        <v>#REF!</v>
      </c>
      <c r="P119" s="175" t="e">
        <f>'inv plan efter år 2024'!P30+P45+P55+'inv plan efter år 2024'!P20+P49+'inv plan efter år 2024'!P21+P50+'inv plan efter år 2024'!P22+'inv plan efter år 2024'!P26+'inv plan efter år 2024'!P23+P51+P52+#REF!+#REF!+#REF!+#REF!+P68+P69+'Inv plan 2018-2027 underlag RPB'!P70+P71+P72+P73+P74+'inv plan efter år 2024'!P37+P75+'inv plan efter år 2024'!P58+P80+'inv plan efter år 2024'!P41+'inv plan efter år 2024'!P42+'inv plan efter år 2024'!P43+'inv plan efter år 2024'!P44+'inv plan efter år 2024'!P45+#REF!+'inv plan efter år 2024'!P60+'inv plan efter år 2024'!P62+'inv plan efter år 2024'!P59+'inv plan efter år 2024'!P61+P88+'inv plan efter år 2024'!P65+'inv plan efter år 2024'!P66+P94+P95+P96+P97+P98</f>
        <v>#REF!</v>
      </c>
      <c r="Q119" s="175"/>
      <c r="R119" s="175"/>
      <c r="S119" s="175"/>
      <c r="T119" s="175"/>
      <c r="U119" s="175"/>
      <c r="V119" s="175"/>
      <c r="W119" s="175"/>
      <c r="X119" s="175"/>
    </row>
    <row r="120" spans="1:69" s="67" customFormat="1" ht="16" hidden="1" x14ac:dyDescent="0.2">
      <c r="A120" s="357"/>
      <c r="D120" s="58"/>
      <c r="E120" s="74"/>
      <c r="F120" s="74"/>
      <c r="G120" s="74"/>
      <c r="H120" s="74"/>
      <c r="I120" s="170" t="s">
        <v>245</v>
      </c>
      <c r="J120" s="175">
        <f>'inv plan efter år 2024'!J27+'inv plan efter år 2024'!J28+'inv plan efter år 2024'!J29+J89</f>
        <v>13133</v>
      </c>
      <c r="K120" s="175">
        <f>'inv plan efter år 2024'!K27+'inv plan efter år 2024'!K28+'inv plan efter år 2024'!K29+K89</f>
        <v>25641</v>
      </c>
      <c r="L120" s="175">
        <f>'inv plan efter år 2024'!L27+'inv plan efter år 2024'!L28+'inv plan efter år 2024'!L29+L89</f>
        <v>10000</v>
      </c>
      <c r="M120" s="175">
        <f>'inv plan efter år 2024'!M27+'inv plan efter år 2024'!M28+'inv plan efter år 2024'!M29+M89</f>
        <v>15000</v>
      </c>
      <c r="N120" s="175">
        <f>'inv plan efter år 2024'!N27+'inv plan efter år 2024'!N28+'inv plan efter år 2024'!N29+N89</f>
        <v>14349</v>
      </c>
      <c r="O120" s="175">
        <f>'inv plan efter år 2024'!O27+'inv plan efter år 2024'!O28+'inv plan efter år 2024'!O29+O89</f>
        <v>39349</v>
      </c>
      <c r="P120" s="175">
        <f>'inv plan efter år 2024'!P27+'inv plan efter år 2024'!P28+'inv plan efter år 2024'!P29+P89</f>
        <v>0</v>
      </c>
      <c r="Q120" s="175"/>
      <c r="R120" s="175"/>
      <c r="S120" s="175"/>
      <c r="T120" s="175"/>
      <c r="U120" s="175"/>
      <c r="V120" s="175"/>
      <c r="W120" s="175"/>
      <c r="X120" s="175"/>
    </row>
    <row r="121" spans="1:69" s="67" customFormat="1" ht="16" hidden="1" x14ac:dyDescent="0.2">
      <c r="A121" s="357"/>
      <c r="D121" s="58"/>
      <c r="E121" s="74"/>
      <c r="F121" s="74"/>
      <c r="G121" s="74"/>
      <c r="H121" s="74"/>
      <c r="I121" s="170" t="s">
        <v>276</v>
      </c>
      <c r="J121" s="175" t="e">
        <f>J56+J57+'inv plan efter år 2024'!J31+J59+J60+J61+J62+J81+J100+J101</f>
        <v>#REF!</v>
      </c>
      <c r="K121" s="175" t="e">
        <f>K56+K57+'inv plan efter år 2024'!K31+K59+K60+K61+K62+K81+K100+K101</f>
        <v>#REF!</v>
      </c>
      <c r="L121" s="175">
        <f>L56+L57+'inv plan efter år 2024'!L31+L59+L60+L61+L62+L81+L100+L101</f>
        <v>473025</v>
      </c>
      <c r="M121" s="175">
        <f>M56+M57+'inv plan efter år 2024'!M31+M59+M60+M61+M62+M81+M100+M101</f>
        <v>512180</v>
      </c>
      <c r="N121" s="175">
        <f>N56+N57+'inv plan efter år 2024'!N31+N59+N60+N61+N62+N81+N100+N101</f>
        <v>357600</v>
      </c>
      <c r="O121" s="175">
        <f>O56+O57+'inv plan efter år 2024'!O31+O59+O60+O61+O62+O81+O100+O101</f>
        <v>1342805</v>
      </c>
      <c r="P121" s="175">
        <f>P56+P57+'inv plan efter år 2024'!P31+P59+P60+P61+P62+P81+P100+P101</f>
        <v>391800</v>
      </c>
      <c r="Q121" s="175"/>
      <c r="R121" s="175"/>
      <c r="S121" s="175"/>
      <c r="T121" s="175"/>
      <c r="U121" s="175"/>
      <c r="V121" s="175"/>
      <c r="W121" s="175"/>
      <c r="X121" s="175"/>
    </row>
    <row r="122" spans="1:69" s="67" customFormat="1" ht="16" hidden="1" x14ac:dyDescent="0.2">
      <c r="A122" s="357"/>
      <c r="D122" s="58"/>
      <c r="E122" s="74"/>
      <c r="F122" s="74"/>
      <c r="G122" s="74"/>
      <c r="H122" s="74"/>
      <c r="I122" s="170" t="s">
        <v>102</v>
      </c>
      <c r="J122" s="175" t="e">
        <f>J63+J64+J102+'inv plan efter år 2024'!J70+J105+J103</f>
        <v>#REF!</v>
      </c>
      <c r="K122" s="175" t="e">
        <f>K63+K64+K102+'inv plan efter år 2024'!K70+K105+K103</f>
        <v>#REF!</v>
      </c>
      <c r="L122" s="175">
        <f>L63+L64+L102+'inv plan efter år 2024'!L70+L105+L103</f>
        <v>703309</v>
      </c>
      <c r="M122" s="175">
        <f>M63+M64+M102+'inv plan efter år 2024'!M70+M105+M103</f>
        <v>247726</v>
      </c>
      <c r="N122" s="175">
        <f>N63+N64+N102+'inv plan efter år 2024'!N70+N105+N103</f>
        <v>236528</v>
      </c>
      <c r="O122" s="175">
        <f>O63+O64+O102+'inv plan efter år 2024'!O70+O105+O103</f>
        <v>1187563</v>
      </c>
      <c r="P122" s="175">
        <f>P63+P64+P102+'inv plan efter år 2024'!P70+P105+P103</f>
        <v>188622</v>
      </c>
      <c r="Q122" s="175"/>
      <c r="R122" s="175"/>
      <c r="S122" s="175"/>
      <c r="T122" s="175"/>
      <c r="U122" s="175"/>
      <c r="V122" s="175"/>
      <c r="W122" s="175"/>
      <c r="X122" s="175"/>
    </row>
    <row r="123" spans="1:69" s="102" customFormat="1" ht="16" hidden="1" x14ac:dyDescent="0.2">
      <c r="A123" s="357"/>
      <c r="D123" s="120"/>
      <c r="E123" s="93"/>
      <c r="F123" s="93"/>
      <c r="G123" s="93"/>
      <c r="H123" s="93"/>
      <c r="I123" s="217"/>
      <c r="J123" s="218" t="e">
        <f>SUM(J119:J122)</f>
        <v>#REF!</v>
      </c>
      <c r="K123" s="218" t="e">
        <f t="shared" ref="K123:P123" si="75">SUM(K119:K122)</f>
        <v>#REF!</v>
      </c>
      <c r="L123" s="218" t="e">
        <f t="shared" si="75"/>
        <v>#REF!</v>
      </c>
      <c r="M123" s="218" t="e">
        <f t="shared" si="75"/>
        <v>#REF!</v>
      </c>
      <c r="N123" s="218" t="e">
        <f t="shared" si="75"/>
        <v>#REF!</v>
      </c>
      <c r="O123" s="218" t="e">
        <f t="shared" si="75"/>
        <v>#REF!</v>
      </c>
      <c r="P123" s="218" t="e">
        <f t="shared" si="75"/>
        <v>#REF!</v>
      </c>
      <c r="Q123" s="218"/>
      <c r="R123" s="218"/>
      <c r="S123" s="218"/>
      <c r="T123" s="218"/>
      <c r="U123" s="218"/>
      <c r="V123" s="218"/>
      <c r="W123" s="218"/>
      <c r="X123" s="218"/>
    </row>
    <row r="124" spans="1:69" s="126" customFormat="1" ht="16" hidden="1" x14ac:dyDescent="0.2">
      <c r="A124" s="357"/>
      <c r="B124" s="67"/>
      <c r="C124" s="67"/>
      <c r="D124" s="58"/>
      <c r="E124" s="74"/>
      <c r="F124" s="74"/>
      <c r="G124" s="74"/>
      <c r="H124" s="74"/>
      <c r="I124" s="74"/>
      <c r="J124" s="122"/>
      <c r="K124" s="67"/>
      <c r="L124" s="67"/>
      <c r="M124" s="67"/>
      <c r="N124" s="67"/>
      <c r="O124" s="125"/>
      <c r="P124" s="67"/>
      <c r="Q124" s="67"/>
      <c r="R124" s="67"/>
      <c r="S124" s="67"/>
      <c r="T124" s="67"/>
      <c r="U124" s="67"/>
      <c r="V124" s="67"/>
      <c r="W124" s="67"/>
      <c r="Y124" s="67"/>
      <c r="Z124" s="67"/>
      <c r="AA124" s="6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67"/>
      <c r="BJ124" s="67"/>
      <c r="BL124" s="67"/>
      <c r="BM124" s="67"/>
      <c r="BN124" s="67"/>
      <c r="BO124" s="67"/>
      <c r="BP124" s="67"/>
      <c r="BQ124" s="67"/>
    </row>
    <row r="125" spans="1:69" s="126" customFormat="1" ht="16" hidden="1" x14ac:dyDescent="0.2">
      <c r="A125" s="357"/>
      <c r="B125" s="67"/>
      <c r="C125" s="67"/>
      <c r="D125" s="58"/>
      <c r="E125" s="74"/>
      <c r="F125" s="74"/>
      <c r="G125" s="74"/>
      <c r="H125" s="74"/>
      <c r="I125" s="74" t="s">
        <v>124</v>
      </c>
      <c r="J125" s="122" t="e">
        <f>J108-J123</f>
        <v>#REF!</v>
      </c>
      <c r="K125" s="122" t="e">
        <f t="shared" ref="K125:P125" si="76">K108-K123</f>
        <v>#REF!</v>
      </c>
      <c r="L125" s="122" t="e">
        <f t="shared" si="76"/>
        <v>#REF!</v>
      </c>
      <c r="M125" s="122" t="e">
        <f t="shared" si="76"/>
        <v>#REF!</v>
      </c>
      <c r="N125" s="122" t="e">
        <f t="shared" si="76"/>
        <v>#REF!</v>
      </c>
      <c r="O125" s="122" t="e">
        <f t="shared" si="76"/>
        <v>#REF!</v>
      </c>
      <c r="P125" s="122" t="e">
        <f t="shared" si="76"/>
        <v>#REF!</v>
      </c>
      <c r="Q125" s="122"/>
      <c r="R125" s="122"/>
      <c r="S125" s="122"/>
      <c r="T125" s="122"/>
      <c r="U125" s="122"/>
      <c r="V125" s="122"/>
      <c r="W125" s="122"/>
      <c r="X125" s="122"/>
      <c r="Y125" s="67"/>
      <c r="Z125" s="67"/>
      <c r="AA125" s="6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67"/>
      <c r="BJ125" s="67"/>
      <c r="BL125" s="67"/>
      <c r="BM125" s="67"/>
      <c r="BN125" s="67"/>
      <c r="BO125" s="67"/>
      <c r="BP125" s="67"/>
      <c r="BQ125" s="67"/>
    </row>
    <row r="126" spans="1:69" s="126" customFormat="1" ht="16" hidden="1" x14ac:dyDescent="0.2">
      <c r="A126" s="357"/>
      <c r="B126" s="67"/>
      <c r="C126" s="67"/>
      <c r="D126" s="58"/>
      <c r="E126" s="74"/>
      <c r="F126" s="74"/>
      <c r="G126" s="74"/>
      <c r="H126" s="74"/>
      <c r="I126" s="74"/>
      <c r="J126" s="122"/>
      <c r="K126" s="67"/>
      <c r="L126" s="67"/>
      <c r="M126" s="67"/>
      <c r="N126" s="67"/>
      <c r="O126" s="125"/>
      <c r="P126" s="67"/>
      <c r="Q126" s="67"/>
      <c r="R126" s="67"/>
      <c r="S126" s="67"/>
      <c r="T126" s="67"/>
      <c r="U126" s="67"/>
      <c r="V126" s="67"/>
      <c r="W126" s="67"/>
      <c r="Y126" s="67"/>
      <c r="Z126" s="67"/>
      <c r="AA126" s="6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67"/>
      <c r="BJ126" s="67"/>
      <c r="BL126" s="67"/>
      <c r="BM126" s="67"/>
      <c r="BN126" s="67"/>
      <c r="BO126" s="67"/>
      <c r="BP126" s="67"/>
      <c r="BQ126" s="67"/>
    </row>
    <row r="127" spans="1:69" s="67" customFormat="1" ht="16" hidden="1" x14ac:dyDescent="0.2">
      <c r="A127" s="357"/>
      <c r="D127" s="58"/>
      <c r="E127" s="74"/>
      <c r="F127" s="74"/>
      <c r="G127" s="74"/>
      <c r="H127" s="74"/>
      <c r="I127" s="74"/>
      <c r="J127" s="122"/>
      <c r="O127" s="125"/>
      <c r="X127" s="126"/>
    </row>
    <row r="128" spans="1:69" s="126" customFormat="1" ht="16" hidden="1" x14ac:dyDescent="0.2">
      <c r="A128" s="357"/>
      <c r="B128" s="67"/>
      <c r="C128" s="67"/>
      <c r="D128" s="58"/>
      <c r="E128" s="74"/>
      <c r="F128" s="74"/>
      <c r="G128" s="74"/>
      <c r="H128" s="74"/>
      <c r="I128" s="170" t="s">
        <v>472</v>
      </c>
      <c r="J128" s="175">
        <f t="shared" ref="J128:P128" si="77">J94+J95+J96+J97+J98</f>
        <v>0</v>
      </c>
      <c r="K128" s="175">
        <f t="shared" si="77"/>
        <v>4000</v>
      </c>
      <c r="L128" s="175">
        <f t="shared" si="77"/>
        <v>51000</v>
      </c>
      <c r="M128" s="175">
        <f t="shared" si="77"/>
        <v>71000</v>
      </c>
      <c r="N128" s="175">
        <f t="shared" si="77"/>
        <v>37000</v>
      </c>
      <c r="O128" s="175">
        <f t="shared" si="77"/>
        <v>159000</v>
      </c>
      <c r="P128" s="175">
        <f t="shared" si="77"/>
        <v>35000</v>
      </c>
      <c r="Q128" s="175"/>
      <c r="R128" s="175"/>
      <c r="S128" s="175"/>
      <c r="T128" s="175"/>
      <c r="U128" s="175"/>
      <c r="V128" s="175"/>
      <c r="W128" s="175"/>
      <c r="X128" s="175"/>
      <c r="Y128" s="67"/>
      <c r="Z128" s="67"/>
      <c r="AA128" s="67"/>
      <c r="BI128" s="67"/>
      <c r="BJ128" s="67"/>
      <c r="BL128" s="67"/>
      <c r="BM128" s="67"/>
      <c r="BN128" s="67"/>
      <c r="BO128" s="67"/>
      <c r="BP128" s="67"/>
      <c r="BQ128" s="67"/>
    </row>
    <row r="129" spans="1:69" s="126" customFormat="1" ht="16" hidden="1" x14ac:dyDescent="0.2">
      <c r="A129" s="357"/>
      <c r="B129" s="67"/>
      <c r="C129" s="67"/>
      <c r="D129" s="58"/>
      <c r="E129" s="74"/>
      <c r="F129" s="74"/>
      <c r="G129" s="74"/>
      <c r="H129" s="74"/>
      <c r="I129" s="170" t="s">
        <v>473</v>
      </c>
      <c r="J129" s="175">
        <v>0</v>
      </c>
      <c r="K129" s="175">
        <v>0</v>
      </c>
      <c r="L129" s="175">
        <v>0</v>
      </c>
      <c r="M129" s="175">
        <v>0</v>
      </c>
      <c r="N129" s="175">
        <v>0</v>
      </c>
      <c r="O129" s="175">
        <v>0</v>
      </c>
      <c r="P129" s="175">
        <v>0</v>
      </c>
      <c r="Q129" s="175"/>
      <c r="R129" s="175"/>
      <c r="S129" s="175"/>
      <c r="T129" s="175"/>
      <c r="U129" s="175"/>
      <c r="V129" s="175"/>
      <c r="W129" s="175"/>
      <c r="X129" s="175"/>
      <c r="Y129" s="67"/>
      <c r="Z129" s="67"/>
      <c r="AA129" s="67"/>
      <c r="BI129" s="67"/>
      <c r="BJ129" s="67"/>
      <c r="BL129" s="67"/>
      <c r="BM129" s="67"/>
      <c r="BN129" s="67"/>
      <c r="BO129" s="67"/>
      <c r="BP129" s="67"/>
      <c r="BQ129" s="67"/>
    </row>
    <row r="130" spans="1:69" s="67" customFormat="1" ht="16" hidden="1" x14ac:dyDescent="0.2">
      <c r="A130" s="357"/>
      <c r="D130" s="58"/>
      <c r="E130" s="74"/>
      <c r="F130" s="74"/>
      <c r="G130" s="74"/>
      <c r="H130" s="74"/>
      <c r="I130" s="170" t="s">
        <v>474</v>
      </c>
      <c r="J130" s="175">
        <f t="shared" ref="J130:P130" si="78">J100+J101</f>
        <v>1850</v>
      </c>
      <c r="K130" s="175">
        <f t="shared" si="78"/>
        <v>3000</v>
      </c>
      <c r="L130" s="175">
        <f t="shared" si="78"/>
        <v>6000</v>
      </c>
      <c r="M130" s="175">
        <f t="shared" si="78"/>
        <v>0</v>
      </c>
      <c r="N130" s="175">
        <f t="shared" si="78"/>
        <v>0</v>
      </c>
      <c r="O130" s="175">
        <f t="shared" si="78"/>
        <v>6000</v>
      </c>
      <c r="P130" s="175">
        <f t="shared" si="78"/>
        <v>3000</v>
      </c>
      <c r="Q130" s="175"/>
      <c r="R130" s="175"/>
      <c r="S130" s="175"/>
      <c r="T130" s="175"/>
      <c r="U130" s="175"/>
      <c r="V130" s="175"/>
      <c r="W130" s="175"/>
      <c r="X130" s="175"/>
    </row>
    <row r="131" spans="1:69" s="67" customFormat="1" ht="16" hidden="1" x14ac:dyDescent="0.2">
      <c r="A131" s="357"/>
      <c r="D131" s="58"/>
      <c r="E131" s="74"/>
      <c r="F131" s="74"/>
      <c r="G131" s="74"/>
      <c r="H131" s="74"/>
      <c r="I131" s="170" t="s">
        <v>475</v>
      </c>
      <c r="J131" s="175">
        <f>J102+'inv plan efter år 2024'!J70+J105+J103</f>
        <v>352700</v>
      </c>
      <c r="K131" s="175">
        <f>K102+'inv plan efter år 2024'!K70+K105+K103</f>
        <v>182500</v>
      </c>
      <c r="L131" s="175">
        <f>L102+'inv plan efter år 2024'!L70+L105+L103</f>
        <v>145500</v>
      </c>
      <c r="M131" s="175">
        <f>M102+'inv plan efter år 2024'!M70+M105+M103</f>
        <v>106000</v>
      </c>
      <c r="N131" s="175">
        <f>N102+'inv plan efter år 2024'!N70+N105+N103</f>
        <v>105700</v>
      </c>
      <c r="O131" s="175">
        <f>O102+'inv plan efter år 2024'!O70+O105+O103</f>
        <v>357200</v>
      </c>
      <c r="P131" s="175">
        <f>P102+'inv plan efter år 2024'!P70+P105+P103</f>
        <v>110000</v>
      </c>
      <c r="Q131" s="175"/>
      <c r="R131" s="175"/>
      <c r="S131" s="175"/>
      <c r="T131" s="175"/>
      <c r="U131" s="175"/>
      <c r="V131" s="175"/>
      <c r="W131" s="175"/>
      <c r="X131" s="175"/>
    </row>
    <row r="132" spans="1:69" s="102" customFormat="1" ht="16" hidden="1" x14ac:dyDescent="0.2">
      <c r="A132" s="357"/>
      <c r="D132" s="120"/>
      <c r="E132" s="93"/>
      <c r="F132" s="93"/>
      <c r="G132" s="93"/>
      <c r="H132" s="93"/>
      <c r="I132" s="217"/>
      <c r="J132" s="218">
        <f>SUM(J128:J131)</f>
        <v>354550</v>
      </c>
      <c r="K132" s="218">
        <f t="shared" ref="K132:P132" si="79">SUM(K128:K131)</f>
        <v>189500</v>
      </c>
      <c r="L132" s="218">
        <f t="shared" si="79"/>
        <v>202500</v>
      </c>
      <c r="M132" s="218">
        <f t="shared" si="79"/>
        <v>177000</v>
      </c>
      <c r="N132" s="218">
        <f t="shared" si="79"/>
        <v>142700</v>
      </c>
      <c r="O132" s="218">
        <f t="shared" si="79"/>
        <v>522200</v>
      </c>
      <c r="P132" s="218">
        <f t="shared" si="79"/>
        <v>148000</v>
      </c>
      <c r="Q132" s="218"/>
      <c r="R132" s="218"/>
      <c r="S132" s="218"/>
      <c r="T132" s="218"/>
      <c r="U132" s="218"/>
      <c r="V132" s="218"/>
      <c r="W132" s="218"/>
      <c r="X132" s="218"/>
    </row>
    <row r="133" spans="1:69" s="67" customFormat="1" ht="16" hidden="1" x14ac:dyDescent="0.2">
      <c r="A133" s="357"/>
      <c r="D133" s="58"/>
      <c r="E133" s="74"/>
      <c r="F133" s="74"/>
      <c r="G133" s="74"/>
      <c r="H133" s="74"/>
      <c r="I133" s="74"/>
      <c r="J133" s="122"/>
      <c r="O133" s="125"/>
      <c r="X133" s="126"/>
    </row>
    <row r="134" spans="1:69" s="67" customFormat="1" ht="16" hidden="1" x14ac:dyDescent="0.2">
      <c r="A134" s="357"/>
      <c r="D134" s="58"/>
      <c r="E134" s="74"/>
      <c r="F134" s="74"/>
      <c r="G134" s="74"/>
      <c r="H134" s="74"/>
      <c r="I134" s="74"/>
      <c r="J134" s="122"/>
      <c r="O134" s="125"/>
      <c r="X134" s="126"/>
    </row>
    <row r="135" spans="1:69" s="67" customFormat="1" ht="16" hidden="1" x14ac:dyDescent="0.2">
      <c r="A135" s="357"/>
      <c r="D135" s="58"/>
      <c r="E135" s="74"/>
      <c r="F135" s="74"/>
      <c r="G135" s="74"/>
      <c r="H135" s="74"/>
      <c r="I135" s="170" t="s">
        <v>476</v>
      </c>
      <c r="J135" s="175" t="e">
        <f>J119-J128</f>
        <v>#REF!</v>
      </c>
      <c r="K135" s="175" t="e">
        <f t="shared" ref="K135:P135" si="80">K119-K128</f>
        <v>#REF!</v>
      </c>
      <c r="L135" s="175" t="e">
        <f t="shared" si="80"/>
        <v>#REF!</v>
      </c>
      <c r="M135" s="175" t="e">
        <f t="shared" si="80"/>
        <v>#REF!</v>
      </c>
      <c r="N135" s="175" t="e">
        <f t="shared" si="80"/>
        <v>#REF!</v>
      </c>
      <c r="O135" s="175" t="e">
        <f t="shared" si="80"/>
        <v>#REF!</v>
      </c>
      <c r="P135" s="175" t="e">
        <f t="shared" si="80"/>
        <v>#REF!</v>
      </c>
      <c r="Q135" s="175"/>
      <c r="R135" s="175"/>
      <c r="S135" s="175"/>
      <c r="T135" s="175"/>
      <c r="U135" s="175"/>
      <c r="V135" s="175"/>
      <c r="W135" s="175"/>
      <c r="X135" s="175"/>
    </row>
    <row r="136" spans="1:69" s="67" customFormat="1" ht="16" hidden="1" x14ac:dyDescent="0.2">
      <c r="A136" s="357"/>
      <c r="D136" s="58"/>
      <c r="E136" s="74"/>
      <c r="F136" s="74"/>
      <c r="G136" s="74"/>
      <c r="H136" s="74"/>
      <c r="I136" s="170" t="s">
        <v>477</v>
      </c>
      <c r="J136" s="175">
        <f t="shared" ref="J136:P138" si="81">J120-J129</f>
        <v>13133</v>
      </c>
      <c r="K136" s="175">
        <f t="shared" si="81"/>
        <v>25641</v>
      </c>
      <c r="L136" s="175">
        <f t="shared" si="81"/>
        <v>10000</v>
      </c>
      <c r="M136" s="175">
        <f t="shared" si="81"/>
        <v>15000</v>
      </c>
      <c r="N136" s="175">
        <f t="shared" si="81"/>
        <v>14349</v>
      </c>
      <c r="O136" s="175">
        <f t="shared" si="81"/>
        <v>39349</v>
      </c>
      <c r="P136" s="175">
        <f t="shared" si="81"/>
        <v>0</v>
      </c>
      <c r="Q136" s="175"/>
      <c r="R136" s="175"/>
      <c r="S136" s="175"/>
      <c r="T136" s="175"/>
      <c r="U136" s="175"/>
      <c r="V136" s="175"/>
      <c r="W136" s="175"/>
      <c r="X136" s="175"/>
    </row>
    <row r="137" spans="1:69" s="67" customFormat="1" ht="16" hidden="1" x14ac:dyDescent="0.2">
      <c r="A137" s="357"/>
      <c r="D137" s="58"/>
      <c r="E137" s="74"/>
      <c r="F137" s="74"/>
      <c r="G137" s="74"/>
      <c r="H137" s="74"/>
      <c r="I137" s="170" t="s">
        <v>478</v>
      </c>
      <c r="J137" s="175" t="e">
        <f t="shared" si="81"/>
        <v>#REF!</v>
      </c>
      <c r="K137" s="175" t="e">
        <f t="shared" si="81"/>
        <v>#REF!</v>
      </c>
      <c r="L137" s="175">
        <f t="shared" si="81"/>
        <v>467025</v>
      </c>
      <c r="M137" s="175">
        <f t="shared" si="81"/>
        <v>512180</v>
      </c>
      <c r="N137" s="175">
        <f t="shared" si="81"/>
        <v>357600</v>
      </c>
      <c r="O137" s="175">
        <f t="shared" si="81"/>
        <v>1336805</v>
      </c>
      <c r="P137" s="175">
        <f t="shared" si="81"/>
        <v>388800</v>
      </c>
      <c r="Q137" s="175"/>
      <c r="R137" s="175"/>
      <c r="S137" s="175"/>
      <c r="T137" s="175"/>
      <c r="U137" s="175"/>
      <c r="V137" s="175"/>
      <c r="W137" s="175"/>
      <c r="X137" s="175"/>
    </row>
    <row r="138" spans="1:69" s="67" customFormat="1" ht="16" hidden="1" x14ac:dyDescent="0.2">
      <c r="A138" s="357"/>
      <c r="D138" s="58"/>
      <c r="E138" s="74"/>
      <c r="F138" s="74"/>
      <c r="G138" s="74"/>
      <c r="H138" s="74"/>
      <c r="I138" s="170" t="s">
        <v>479</v>
      </c>
      <c r="J138" s="175" t="e">
        <f t="shared" si="81"/>
        <v>#REF!</v>
      </c>
      <c r="K138" s="175" t="e">
        <f t="shared" si="81"/>
        <v>#REF!</v>
      </c>
      <c r="L138" s="175">
        <f t="shared" si="81"/>
        <v>557809</v>
      </c>
      <c r="M138" s="175">
        <f t="shared" si="81"/>
        <v>141726</v>
      </c>
      <c r="N138" s="175">
        <f t="shared" si="81"/>
        <v>130828</v>
      </c>
      <c r="O138" s="175">
        <f t="shared" si="81"/>
        <v>830363</v>
      </c>
      <c r="P138" s="175">
        <f t="shared" si="81"/>
        <v>78622</v>
      </c>
      <c r="Q138" s="175"/>
      <c r="R138" s="175"/>
      <c r="S138" s="175"/>
      <c r="T138" s="175"/>
      <c r="U138" s="175"/>
      <c r="V138" s="175"/>
      <c r="W138" s="175"/>
      <c r="X138" s="175"/>
    </row>
    <row r="139" spans="1:69" s="102" customFormat="1" ht="16" hidden="1" x14ac:dyDescent="0.2">
      <c r="A139" s="357"/>
      <c r="D139" s="120"/>
      <c r="E139" s="93"/>
      <c r="F139" s="93"/>
      <c r="G139" s="93"/>
      <c r="H139" s="93"/>
      <c r="I139" s="217"/>
      <c r="J139" s="218" t="e">
        <f>SUM(J135:J138)</f>
        <v>#REF!</v>
      </c>
      <c r="K139" s="218" t="e">
        <f t="shared" ref="K139:P139" si="82">SUM(K135:K138)</f>
        <v>#REF!</v>
      </c>
      <c r="L139" s="218" t="e">
        <f t="shared" si="82"/>
        <v>#REF!</v>
      </c>
      <c r="M139" s="218" t="e">
        <f t="shared" si="82"/>
        <v>#REF!</v>
      </c>
      <c r="N139" s="218" t="e">
        <f t="shared" si="82"/>
        <v>#REF!</v>
      </c>
      <c r="O139" s="218" t="e">
        <f t="shared" si="82"/>
        <v>#REF!</v>
      </c>
      <c r="P139" s="218" t="e">
        <f t="shared" si="82"/>
        <v>#REF!</v>
      </c>
      <c r="Q139" s="218"/>
      <c r="R139" s="218"/>
      <c r="S139" s="218"/>
      <c r="T139" s="218"/>
      <c r="U139" s="218"/>
      <c r="V139" s="218"/>
      <c r="W139" s="218"/>
      <c r="X139" s="218"/>
    </row>
    <row r="140" spans="1:69" hidden="1" x14ac:dyDescent="0.15">
      <c r="A140" s="358"/>
    </row>
    <row r="141" spans="1:69" hidden="1" x14ac:dyDescent="0.15">
      <c r="A141" s="358"/>
    </row>
    <row r="142" spans="1:69" hidden="1" x14ac:dyDescent="0.15">
      <c r="A142" s="358"/>
    </row>
    <row r="143" spans="1:69" hidden="1" x14ac:dyDescent="0.15">
      <c r="A143" s="358"/>
    </row>
    <row r="144" spans="1:69" s="297" customFormat="1" ht="18" hidden="1" x14ac:dyDescent="0.2">
      <c r="A144" s="360"/>
      <c r="B144" s="292"/>
      <c r="C144" s="292"/>
      <c r="D144" s="293"/>
      <c r="E144" s="294"/>
      <c r="F144" s="294"/>
      <c r="G144" s="294"/>
      <c r="H144" s="294"/>
      <c r="I144" s="344" t="s">
        <v>480</v>
      </c>
      <c r="J144" s="296" t="e">
        <f t="shared" ref="J144:P144" si="83">J59+J60+J61+J62+J63+J64</f>
        <v>#REF!</v>
      </c>
      <c r="K144" s="296" t="e">
        <f t="shared" si="83"/>
        <v>#REF!</v>
      </c>
      <c r="L144" s="296">
        <f t="shared" si="83"/>
        <v>737834</v>
      </c>
      <c r="M144" s="296">
        <f t="shared" si="83"/>
        <v>260526</v>
      </c>
      <c r="N144" s="296">
        <f t="shared" si="83"/>
        <v>408428</v>
      </c>
      <c r="O144" s="296">
        <f t="shared" si="83"/>
        <v>1406788</v>
      </c>
      <c r="P144" s="296">
        <f t="shared" si="83"/>
        <v>437422</v>
      </c>
      <c r="Q144" s="296"/>
      <c r="R144" s="296"/>
      <c r="S144" s="296"/>
      <c r="T144" s="296"/>
      <c r="U144" s="296"/>
      <c r="V144" s="296"/>
      <c r="W144" s="296"/>
      <c r="X144" s="296"/>
      <c r="Y144" s="292"/>
      <c r="Z144" s="292"/>
      <c r="AA144" s="292"/>
      <c r="BI144" s="292"/>
      <c r="BJ144" s="292"/>
      <c r="BL144" s="292"/>
      <c r="BM144" s="292"/>
      <c r="BN144" s="292"/>
      <c r="BO144" s="292"/>
      <c r="BP144" s="292"/>
      <c r="BQ144" s="292"/>
    </row>
    <row r="145" spans="1:69" s="292" customFormat="1" ht="18" hidden="1" x14ac:dyDescent="0.2">
      <c r="A145" s="360"/>
      <c r="D145" s="293"/>
      <c r="E145" s="294"/>
      <c r="F145" s="294"/>
      <c r="G145" s="294"/>
      <c r="H145" s="294"/>
      <c r="I145" s="294"/>
      <c r="J145" s="298"/>
      <c r="O145" s="299"/>
      <c r="X145" s="297"/>
    </row>
    <row r="146" spans="1:69" s="292" customFormat="1" ht="48" hidden="1" x14ac:dyDescent="0.2">
      <c r="A146" s="360"/>
      <c r="D146" s="293"/>
      <c r="E146" s="294"/>
      <c r="F146" s="294"/>
      <c r="G146" s="294"/>
      <c r="H146" s="294"/>
      <c r="I146" s="343"/>
      <c r="J146" s="51" t="s">
        <v>469</v>
      </c>
      <c r="K146" s="51" t="s">
        <v>6</v>
      </c>
      <c r="L146" s="52" t="s">
        <v>7</v>
      </c>
      <c r="M146" s="52" t="s">
        <v>8</v>
      </c>
      <c r="N146" s="52" t="s">
        <v>9</v>
      </c>
      <c r="O146" s="52" t="s">
        <v>470</v>
      </c>
      <c r="P146" s="52" t="s">
        <v>11</v>
      </c>
      <c r="Q146" s="52"/>
      <c r="R146" s="52"/>
      <c r="S146" s="52"/>
      <c r="T146" s="52"/>
      <c r="U146" s="52"/>
      <c r="V146" s="51"/>
      <c r="W146" s="52"/>
      <c r="X146" s="52"/>
    </row>
    <row r="147" spans="1:69" s="297" customFormat="1" ht="18" hidden="1" x14ac:dyDescent="0.2">
      <c r="A147" s="360"/>
      <c r="B147" s="292"/>
      <c r="C147" s="292"/>
      <c r="D147" s="293"/>
      <c r="E147" s="294"/>
      <c r="F147" s="294"/>
      <c r="G147" s="294"/>
      <c r="H147" s="294"/>
      <c r="I147" s="344" t="s">
        <v>481</v>
      </c>
      <c r="J147" s="296">
        <f t="shared" ref="J147:P147" si="84">J59</f>
        <v>0</v>
      </c>
      <c r="K147" s="296">
        <f t="shared" si="84"/>
        <v>64385</v>
      </c>
      <c r="L147" s="296">
        <f t="shared" si="84"/>
        <v>123925</v>
      </c>
      <c r="M147" s="296">
        <f t="shared" si="84"/>
        <v>0</v>
      </c>
      <c r="N147" s="296">
        <f t="shared" si="84"/>
        <v>0</v>
      </c>
      <c r="O147" s="296">
        <f t="shared" si="84"/>
        <v>123925</v>
      </c>
      <c r="P147" s="296">
        <f t="shared" si="84"/>
        <v>0</v>
      </c>
      <c r="Q147" s="296"/>
      <c r="R147" s="296"/>
      <c r="S147" s="296"/>
      <c r="T147" s="296"/>
      <c r="U147" s="296"/>
      <c r="V147" s="296"/>
      <c r="W147" s="296"/>
      <c r="X147" s="296"/>
      <c r="Y147" s="292"/>
      <c r="Z147" s="292"/>
      <c r="AA147" s="292"/>
      <c r="BI147" s="292"/>
      <c r="BJ147" s="292"/>
      <c r="BL147" s="292"/>
      <c r="BM147" s="292"/>
      <c r="BN147" s="292"/>
      <c r="BO147" s="292"/>
      <c r="BP147" s="292"/>
      <c r="BQ147" s="292"/>
    </row>
    <row r="148" spans="1:69" s="297" customFormat="1" ht="18" hidden="1" x14ac:dyDescent="0.2">
      <c r="A148" s="360"/>
      <c r="B148" s="292"/>
      <c r="C148" s="292"/>
      <c r="D148" s="293"/>
      <c r="E148" s="294"/>
      <c r="F148" s="294"/>
      <c r="G148" s="294"/>
      <c r="H148" s="294"/>
      <c r="I148" s="344"/>
      <c r="J148" s="296"/>
      <c r="K148" s="296"/>
      <c r="L148" s="296"/>
      <c r="M148" s="296"/>
      <c r="N148" s="296"/>
      <c r="O148" s="296"/>
      <c r="P148" s="296"/>
      <c r="Q148" s="296"/>
      <c r="R148" s="296"/>
      <c r="S148" s="296"/>
      <c r="T148" s="296"/>
      <c r="U148" s="296"/>
      <c r="V148" s="296"/>
      <c r="W148" s="296"/>
      <c r="X148" s="296"/>
      <c r="Y148" s="292"/>
      <c r="Z148" s="292"/>
      <c r="AA148" s="292"/>
      <c r="BI148" s="292"/>
      <c r="BJ148" s="292"/>
      <c r="BL148" s="292"/>
      <c r="BM148" s="292"/>
      <c r="BN148" s="292"/>
      <c r="BO148" s="292"/>
      <c r="BP148" s="292"/>
      <c r="BQ148" s="292"/>
    </row>
    <row r="149" spans="1:69" s="297" customFormat="1" ht="18" hidden="1" x14ac:dyDescent="0.2">
      <c r="A149" s="360"/>
      <c r="B149" s="292"/>
      <c r="C149" s="292"/>
      <c r="D149" s="293"/>
      <c r="E149" s="294"/>
      <c r="F149" s="294"/>
      <c r="G149" s="294"/>
      <c r="H149" s="294"/>
      <c r="I149" s="344" t="s">
        <v>482</v>
      </c>
      <c r="J149" s="296" t="e">
        <f t="shared" ref="J149:P149" si="85">J60</f>
        <v>#REF!</v>
      </c>
      <c r="K149" s="296" t="e">
        <f t="shared" si="85"/>
        <v>#REF!</v>
      </c>
      <c r="L149" s="296">
        <f t="shared" si="85"/>
        <v>8000</v>
      </c>
      <c r="M149" s="296">
        <f t="shared" si="85"/>
        <v>2000</v>
      </c>
      <c r="N149" s="296">
        <f t="shared" si="85"/>
        <v>0</v>
      </c>
      <c r="O149" s="296">
        <f t="shared" si="85"/>
        <v>10000</v>
      </c>
      <c r="P149" s="296">
        <f t="shared" si="85"/>
        <v>20000</v>
      </c>
      <c r="Q149" s="296"/>
      <c r="R149" s="296"/>
      <c r="S149" s="296"/>
      <c r="T149" s="296"/>
      <c r="U149" s="296"/>
      <c r="V149" s="296"/>
      <c r="W149" s="296"/>
      <c r="X149" s="296"/>
      <c r="Y149" s="292"/>
      <c r="Z149" s="292"/>
      <c r="AA149" s="292"/>
      <c r="BI149" s="292"/>
      <c r="BJ149" s="292"/>
      <c r="BL149" s="292"/>
      <c r="BM149" s="292"/>
      <c r="BN149" s="292"/>
      <c r="BO149" s="292"/>
      <c r="BP149" s="292"/>
      <c r="BQ149" s="292"/>
    </row>
    <row r="150" spans="1:69" s="297" customFormat="1" ht="18" hidden="1" x14ac:dyDescent="0.2">
      <c r="A150" s="360"/>
      <c r="B150" s="292"/>
      <c r="C150" s="292"/>
      <c r="D150" s="293"/>
      <c r="E150" s="294"/>
      <c r="F150" s="294"/>
      <c r="G150" s="294"/>
      <c r="H150" s="294"/>
      <c r="I150" s="344" t="s">
        <v>295</v>
      </c>
      <c r="J150" s="296">
        <f t="shared" ref="J150:P150" si="86">J62</f>
        <v>0</v>
      </c>
      <c r="K150" s="296">
        <f t="shared" si="86"/>
        <v>248</v>
      </c>
      <c r="L150" s="296">
        <f t="shared" si="86"/>
        <v>3100</v>
      </c>
      <c r="M150" s="296">
        <f t="shared" si="86"/>
        <v>4300</v>
      </c>
      <c r="N150" s="296">
        <f t="shared" si="86"/>
        <v>15100</v>
      </c>
      <c r="O150" s="296">
        <f t="shared" si="86"/>
        <v>22500</v>
      </c>
      <c r="P150" s="296">
        <f t="shared" si="86"/>
        <v>25800</v>
      </c>
      <c r="Q150" s="296"/>
      <c r="R150" s="296"/>
      <c r="S150" s="296"/>
      <c r="T150" s="296"/>
      <c r="U150" s="296"/>
      <c r="V150" s="296"/>
      <c r="W150" s="296"/>
      <c r="X150" s="296"/>
      <c r="Y150" s="292"/>
      <c r="Z150" s="292"/>
      <c r="AA150" s="292"/>
      <c r="BI150" s="292"/>
      <c r="BJ150" s="292"/>
      <c r="BL150" s="292"/>
      <c r="BM150" s="292"/>
      <c r="BN150" s="292"/>
      <c r="BO150" s="292"/>
      <c r="BP150" s="292"/>
      <c r="BQ150" s="292"/>
    </row>
    <row r="151" spans="1:69" s="297" customFormat="1" ht="18" hidden="1" x14ac:dyDescent="0.2">
      <c r="A151" s="360"/>
      <c r="B151" s="292"/>
      <c r="C151" s="292"/>
      <c r="D151" s="293"/>
      <c r="E151" s="294"/>
      <c r="F151" s="294"/>
      <c r="G151" s="294"/>
      <c r="H151" s="294"/>
      <c r="I151" s="344" t="s">
        <v>483</v>
      </c>
      <c r="J151" s="296" t="e">
        <f t="shared" ref="J151:P151" si="87">J61</f>
        <v>#REF!</v>
      </c>
      <c r="K151" s="296" t="e">
        <f t="shared" si="87"/>
        <v>#REF!</v>
      </c>
      <c r="L151" s="296">
        <f t="shared" si="87"/>
        <v>45000</v>
      </c>
      <c r="M151" s="296">
        <f t="shared" si="87"/>
        <v>112500</v>
      </c>
      <c r="N151" s="296">
        <f t="shared" si="87"/>
        <v>262500</v>
      </c>
      <c r="O151" s="296">
        <f t="shared" si="87"/>
        <v>420000</v>
      </c>
      <c r="P151" s="296">
        <f t="shared" si="87"/>
        <v>313000</v>
      </c>
      <c r="Q151" s="296"/>
      <c r="R151" s="296"/>
      <c r="S151" s="296"/>
      <c r="T151" s="296"/>
      <c r="U151" s="296"/>
      <c r="V151" s="296"/>
      <c r="W151" s="296"/>
      <c r="X151" s="296"/>
      <c r="Y151" s="292"/>
      <c r="Z151" s="292"/>
      <c r="AA151" s="292"/>
      <c r="BI151" s="292"/>
      <c r="BJ151" s="292"/>
      <c r="BL151" s="292"/>
      <c r="BM151" s="292"/>
      <c r="BN151" s="292"/>
      <c r="BO151" s="292"/>
      <c r="BP151" s="292"/>
      <c r="BQ151" s="292"/>
    </row>
    <row r="152" spans="1:69" s="299" customFormat="1" ht="18" hidden="1" x14ac:dyDescent="0.2">
      <c r="A152" s="360"/>
      <c r="B152" s="1"/>
      <c r="C152" s="1"/>
      <c r="D152" s="300"/>
      <c r="E152" s="301"/>
      <c r="F152" s="301"/>
      <c r="G152" s="301"/>
      <c r="H152" s="301"/>
      <c r="I152" s="302" t="s">
        <v>484</v>
      </c>
      <c r="J152" s="303" t="e">
        <f>J149+J150+J151</f>
        <v>#REF!</v>
      </c>
      <c r="K152" s="303" t="e">
        <f>K149+K150+K151</f>
        <v>#REF!</v>
      </c>
      <c r="L152" s="303">
        <f t="shared" ref="L152:P152" si="88">L149+L150+L151</f>
        <v>56100</v>
      </c>
      <c r="M152" s="303">
        <f t="shared" si="88"/>
        <v>118800</v>
      </c>
      <c r="N152" s="303">
        <f t="shared" si="88"/>
        <v>277600</v>
      </c>
      <c r="O152" s="303">
        <f t="shared" si="88"/>
        <v>452500</v>
      </c>
      <c r="P152" s="303">
        <f t="shared" si="88"/>
        <v>358800</v>
      </c>
      <c r="Q152" s="303"/>
      <c r="R152" s="303"/>
      <c r="S152" s="303"/>
      <c r="T152" s="303"/>
      <c r="U152" s="303"/>
      <c r="V152" s="303"/>
      <c r="W152" s="303"/>
      <c r="X152" s="303"/>
      <c r="Y152" s="1"/>
      <c r="Z152" s="1"/>
      <c r="AA152" s="1"/>
      <c r="BI152" s="1"/>
      <c r="BJ152" s="1"/>
      <c r="BL152" s="1"/>
      <c r="BM152" s="1"/>
      <c r="BN152" s="1"/>
      <c r="BO152" s="1"/>
      <c r="BP152" s="1"/>
      <c r="BQ152" s="1"/>
    </row>
    <row r="153" spans="1:69" s="297" customFormat="1" ht="18" hidden="1" x14ac:dyDescent="0.2">
      <c r="A153" s="360"/>
      <c r="B153" s="292"/>
      <c r="C153" s="292"/>
      <c r="D153" s="293"/>
      <c r="E153" s="294"/>
      <c r="F153" s="294"/>
      <c r="G153" s="294"/>
      <c r="H153" s="294"/>
      <c r="I153" s="344"/>
      <c r="J153" s="296"/>
      <c r="K153" s="296"/>
      <c r="L153" s="296"/>
      <c r="M153" s="296"/>
      <c r="N153" s="296"/>
      <c r="O153" s="296"/>
      <c r="P153" s="296"/>
      <c r="Q153" s="296"/>
      <c r="R153" s="296"/>
      <c r="S153" s="296"/>
      <c r="T153" s="296"/>
      <c r="U153" s="296"/>
      <c r="V153" s="296"/>
      <c r="W153" s="296"/>
      <c r="X153" s="296"/>
      <c r="Y153" s="292"/>
      <c r="Z153" s="292"/>
      <c r="AA153" s="292"/>
      <c r="BI153" s="292"/>
      <c r="BJ153" s="292"/>
      <c r="BL153" s="292"/>
      <c r="BM153" s="292"/>
      <c r="BN153" s="292"/>
      <c r="BO153" s="292"/>
      <c r="BP153" s="292"/>
      <c r="BQ153" s="292"/>
    </row>
    <row r="154" spans="1:69" s="297" customFormat="1" ht="36" hidden="1" x14ac:dyDescent="0.2">
      <c r="A154" s="360"/>
      <c r="B154" s="292"/>
      <c r="C154" s="292"/>
      <c r="D154" s="293"/>
      <c r="E154" s="294"/>
      <c r="F154" s="294"/>
      <c r="G154" s="294"/>
      <c r="H154" s="294"/>
      <c r="I154" s="344" t="s">
        <v>485</v>
      </c>
      <c r="J154" s="296" t="e">
        <f t="shared" ref="J154:P154" si="89">J63</f>
        <v>#REF!</v>
      </c>
      <c r="K154" s="296" t="e">
        <f t="shared" si="89"/>
        <v>#REF!</v>
      </c>
      <c r="L154" s="296">
        <f t="shared" si="89"/>
        <v>152544</v>
      </c>
      <c r="M154" s="296">
        <f t="shared" si="89"/>
        <v>141726</v>
      </c>
      <c r="N154" s="296">
        <f t="shared" si="89"/>
        <v>130828</v>
      </c>
      <c r="O154" s="296">
        <f t="shared" si="89"/>
        <v>425098</v>
      </c>
      <c r="P154" s="296">
        <f t="shared" si="89"/>
        <v>78622</v>
      </c>
      <c r="Q154" s="296"/>
      <c r="R154" s="296"/>
      <c r="S154" s="296"/>
      <c r="T154" s="296"/>
      <c r="U154" s="296"/>
      <c r="V154" s="296"/>
      <c r="W154" s="296"/>
      <c r="X154" s="296"/>
      <c r="Y154" s="292"/>
      <c r="Z154" s="292"/>
      <c r="AA154" s="292"/>
      <c r="BI154" s="292"/>
      <c r="BJ154" s="292"/>
      <c r="BL154" s="292"/>
      <c r="BM154" s="292"/>
      <c r="BN154" s="292"/>
      <c r="BO154" s="292"/>
      <c r="BP154" s="292"/>
      <c r="BQ154" s="292"/>
    </row>
    <row r="155" spans="1:69" s="297" customFormat="1" ht="18" hidden="1" x14ac:dyDescent="0.2">
      <c r="A155" s="360"/>
      <c r="B155" s="292"/>
      <c r="C155" s="292"/>
      <c r="D155" s="293"/>
      <c r="E155" s="294"/>
      <c r="F155" s="294"/>
      <c r="G155" s="294"/>
      <c r="H155" s="294"/>
      <c r="I155" s="344"/>
      <c r="J155" s="296"/>
      <c r="K155" s="296"/>
      <c r="L155" s="296"/>
      <c r="M155" s="296"/>
      <c r="N155" s="296"/>
      <c r="O155" s="296"/>
      <c r="P155" s="296"/>
      <c r="Q155" s="296"/>
      <c r="R155" s="296"/>
      <c r="S155" s="296"/>
      <c r="T155" s="296"/>
      <c r="U155" s="296"/>
      <c r="V155" s="296"/>
      <c r="W155" s="296"/>
      <c r="X155" s="296"/>
      <c r="Y155" s="292"/>
      <c r="Z155" s="292"/>
      <c r="AA155" s="292"/>
      <c r="BI155" s="292"/>
      <c r="BJ155" s="292"/>
      <c r="BL155" s="292"/>
      <c r="BM155" s="292"/>
      <c r="BN155" s="292"/>
      <c r="BO155" s="292"/>
      <c r="BP155" s="292"/>
      <c r="BQ155" s="292"/>
    </row>
    <row r="156" spans="1:69" s="297" customFormat="1" ht="18" hidden="1" x14ac:dyDescent="0.2">
      <c r="A156" s="360"/>
      <c r="B156" s="292"/>
      <c r="C156" s="292"/>
      <c r="D156" s="293"/>
      <c r="E156" s="294"/>
      <c r="F156" s="294"/>
      <c r="G156" s="294"/>
      <c r="H156" s="294"/>
      <c r="I156" s="344" t="s">
        <v>486</v>
      </c>
      <c r="J156" s="296" t="e">
        <f t="shared" ref="J156:P156" si="90">J64</f>
        <v>#REF!</v>
      </c>
      <c r="K156" s="296" t="e">
        <f t="shared" si="90"/>
        <v>#REF!</v>
      </c>
      <c r="L156" s="296">
        <f t="shared" si="90"/>
        <v>405265</v>
      </c>
      <c r="M156" s="296">
        <f t="shared" si="90"/>
        <v>0</v>
      </c>
      <c r="N156" s="296">
        <f t="shared" si="90"/>
        <v>0</v>
      </c>
      <c r="O156" s="296">
        <f t="shared" si="90"/>
        <v>405265</v>
      </c>
      <c r="P156" s="296">
        <f t="shared" si="90"/>
        <v>0</v>
      </c>
      <c r="Q156" s="296"/>
      <c r="R156" s="296"/>
      <c r="S156" s="296"/>
      <c r="T156" s="296"/>
      <c r="U156" s="296"/>
      <c r="V156" s="296"/>
      <c r="W156" s="296"/>
      <c r="X156" s="296"/>
      <c r="Y156" s="292"/>
      <c r="Z156" s="292"/>
      <c r="AA156" s="292"/>
      <c r="BI156" s="292"/>
      <c r="BJ156" s="292"/>
      <c r="BL156" s="292"/>
      <c r="BM156" s="292"/>
      <c r="BN156" s="292"/>
      <c r="BO156" s="292"/>
      <c r="BP156" s="292"/>
      <c r="BQ156" s="292"/>
    </row>
    <row r="157" spans="1:69" s="1" customFormat="1" ht="18" hidden="1" x14ac:dyDescent="0.2">
      <c r="A157" s="360"/>
      <c r="D157" s="300"/>
      <c r="E157" s="301"/>
      <c r="F157" s="301"/>
      <c r="G157" s="301"/>
      <c r="H157" s="301"/>
      <c r="I157" s="301"/>
      <c r="J157" s="304" t="e">
        <f>J147+J152+J154+J156</f>
        <v>#REF!</v>
      </c>
      <c r="K157" s="304" t="e">
        <f t="shared" ref="K157:P157" si="91">K147+K152+K154+K156</f>
        <v>#REF!</v>
      </c>
      <c r="L157" s="304">
        <f t="shared" si="91"/>
        <v>737834</v>
      </c>
      <c r="M157" s="304">
        <f t="shared" si="91"/>
        <v>260526</v>
      </c>
      <c r="N157" s="304">
        <f t="shared" si="91"/>
        <v>408428</v>
      </c>
      <c r="O157" s="304">
        <f t="shared" si="91"/>
        <v>1406788</v>
      </c>
      <c r="P157" s="304">
        <f t="shared" si="91"/>
        <v>437422</v>
      </c>
      <c r="Q157" s="304"/>
      <c r="R157" s="304"/>
      <c r="S157" s="304"/>
      <c r="T157" s="304"/>
      <c r="U157" s="304"/>
      <c r="V157" s="304"/>
      <c r="W157" s="304"/>
      <c r="X157" s="304"/>
    </row>
    <row r="158" spans="1:69" s="292" customFormat="1" ht="18" hidden="1" x14ac:dyDescent="0.2">
      <c r="A158" s="360"/>
      <c r="D158" s="293"/>
      <c r="E158" s="294"/>
      <c r="F158" s="294"/>
      <c r="G158" s="294"/>
      <c r="H158" s="294"/>
      <c r="I158" s="294"/>
      <c r="J158" s="298"/>
      <c r="O158" s="299"/>
      <c r="X158" s="297"/>
    </row>
    <row r="159" spans="1:69" s="292" customFormat="1" ht="18" hidden="1" x14ac:dyDescent="0.2">
      <c r="A159" s="360"/>
      <c r="D159" s="293"/>
      <c r="E159" s="294"/>
      <c r="F159" s="294"/>
      <c r="G159" s="294"/>
      <c r="H159" s="294"/>
      <c r="I159" s="294"/>
      <c r="J159" s="298" t="e">
        <f>J144-J157</f>
        <v>#REF!</v>
      </c>
      <c r="K159" s="298" t="e">
        <f t="shared" ref="K159:P159" si="92">K144-K157</f>
        <v>#REF!</v>
      </c>
      <c r="L159" s="298">
        <f t="shared" si="92"/>
        <v>0</v>
      </c>
      <c r="M159" s="298">
        <f t="shared" si="92"/>
        <v>0</v>
      </c>
      <c r="N159" s="298">
        <f t="shared" si="92"/>
        <v>0</v>
      </c>
      <c r="O159" s="298">
        <f t="shared" si="92"/>
        <v>0</v>
      </c>
      <c r="P159" s="298">
        <f t="shared" si="92"/>
        <v>0</v>
      </c>
      <c r="Q159" s="298"/>
      <c r="R159" s="298"/>
      <c r="S159" s="298"/>
      <c r="T159" s="298"/>
      <c r="U159" s="298"/>
      <c r="V159" s="298"/>
      <c r="W159" s="298"/>
      <c r="X159" s="298"/>
    </row>
    <row r="160" spans="1:69" s="292" customFormat="1" ht="18" hidden="1" x14ac:dyDescent="0.2">
      <c r="A160" s="360"/>
      <c r="D160" s="293"/>
      <c r="E160" s="294"/>
      <c r="F160" s="294"/>
      <c r="G160" s="294"/>
      <c r="H160" s="294"/>
      <c r="I160" s="294"/>
      <c r="J160" s="298"/>
      <c r="O160" s="299"/>
      <c r="X160" s="297"/>
    </row>
    <row r="161" spans="1:24" s="292" customFormat="1" ht="18" x14ac:dyDescent="0.2">
      <c r="A161" s="360"/>
      <c r="D161" s="293"/>
      <c r="E161" s="294"/>
      <c r="F161" s="294"/>
      <c r="G161" s="294"/>
      <c r="H161" s="294"/>
      <c r="I161" s="294"/>
      <c r="J161" s="298"/>
      <c r="O161" s="299"/>
      <c r="U161" s="305"/>
      <c r="V161" s="305"/>
      <c r="W161" s="306"/>
      <c r="X161" s="299"/>
    </row>
    <row r="162" spans="1:24" s="292" customFormat="1" ht="18" x14ac:dyDescent="0.2">
      <c r="A162" s="360"/>
      <c r="D162" s="293"/>
      <c r="E162" s="294"/>
      <c r="F162" s="294"/>
      <c r="G162" s="294"/>
      <c r="H162" s="294"/>
      <c r="I162" s="294"/>
      <c r="J162" s="298"/>
      <c r="Q162" s="307"/>
      <c r="R162" s="307"/>
      <c r="S162" s="307"/>
      <c r="U162" s="307"/>
      <c r="V162" s="307"/>
      <c r="W162" s="307"/>
      <c r="X162" s="1"/>
    </row>
    <row r="163" spans="1:24" ht="16.5" customHeight="1" x14ac:dyDescent="0.2">
      <c r="A163" s="358"/>
      <c r="O163"/>
      <c r="Q163" s="307"/>
      <c r="R163" s="307"/>
      <c r="S163" s="307"/>
      <c r="T163" s="307"/>
      <c r="U163" s="307"/>
      <c r="V163" s="307"/>
      <c r="W163" s="307"/>
      <c r="X163" s="4"/>
    </row>
    <row r="164" spans="1:24" ht="16.5" customHeight="1" x14ac:dyDescent="0.2">
      <c r="A164" s="358"/>
      <c r="O164"/>
      <c r="Q164" s="307"/>
      <c r="R164" s="307"/>
      <c r="S164" s="307"/>
      <c r="T164" s="307"/>
      <c r="U164" s="307"/>
      <c r="V164" s="307"/>
      <c r="W164" s="307"/>
      <c r="X164" s="4"/>
    </row>
    <row r="165" spans="1:24" ht="16.5" customHeight="1" x14ac:dyDescent="0.2">
      <c r="O165"/>
      <c r="Q165" s="307"/>
      <c r="R165" s="307"/>
      <c r="S165" s="307"/>
      <c r="T165" s="307"/>
      <c r="U165" s="307"/>
      <c r="V165" s="307"/>
      <c r="W165" s="307"/>
      <c r="X165" s="4"/>
    </row>
    <row r="166" spans="1:24" ht="16.5" customHeight="1" x14ac:dyDescent="0.2">
      <c r="K166" s="2"/>
      <c r="L166" s="2"/>
      <c r="M166" s="2"/>
      <c r="N166" s="2"/>
      <c r="O166" s="2"/>
      <c r="P166" s="2"/>
      <c r="Q166" s="2"/>
      <c r="R166" s="2"/>
      <c r="S166" s="307"/>
      <c r="T166" s="307"/>
      <c r="U166" s="307"/>
      <c r="V166" s="307"/>
      <c r="W166" s="306"/>
      <c r="X166" s="299"/>
    </row>
    <row r="167" spans="1:24" ht="18" x14ac:dyDescent="0.2">
      <c r="O167"/>
      <c r="W167" s="308"/>
    </row>
    <row r="168" spans="1:24" ht="18" x14ac:dyDescent="0.2">
      <c r="K168" s="2"/>
      <c r="L168" s="2"/>
      <c r="M168" s="2"/>
      <c r="N168" s="2"/>
      <c r="O168" s="2"/>
      <c r="P168" s="2"/>
      <c r="Q168" s="2"/>
      <c r="R168" s="2"/>
      <c r="S168" s="2"/>
      <c r="T168" s="2"/>
      <c r="U168" s="2"/>
      <c r="V168" s="2"/>
      <c r="W168" s="307"/>
      <c r="X168" s="2"/>
    </row>
    <row r="169" spans="1:24" ht="18" x14ac:dyDescent="0.2">
      <c r="O169"/>
      <c r="W169" s="307"/>
      <c r="X169"/>
    </row>
    <row r="170" spans="1:24" ht="18" x14ac:dyDescent="0.2">
      <c r="K170" s="2"/>
      <c r="L170" s="2"/>
      <c r="M170" s="2"/>
      <c r="N170" s="2"/>
      <c r="O170" s="2"/>
      <c r="P170" s="2"/>
      <c r="Q170" s="2"/>
      <c r="R170" s="2"/>
      <c r="S170" s="2"/>
      <c r="T170" s="2"/>
      <c r="U170" s="2"/>
      <c r="V170" s="2"/>
      <c r="W170" s="307"/>
      <c r="X170" s="2"/>
    </row>
    <row r="172" spans="1:24" x14ac:dyDescent="0.15">
      <c r="K172" s="2"/>
      <c r="L172" s="2"/>
      <c r="M172" s="2"/>
    </row>
  </sheetData>
  <mergeCells count="22">
    <mergeCell ref="A17:E17"/>
    <mergeCell ref="I27:J27"/>
    <mergeCell ref="I28:J28"/>
    <mergeCell ref="I29:J29"/>
    <mergeCell ref="I30:J30"/>
    <mergeCell ref="I15:J15"/>
    <mergeCell ref="I18:J18"/>
    <mergeCell ref="I20:J20"/>
    <mergeCell ref="I22:J22"/>
    <mergeCell ref="I24:J24"/>
    <mergeCell ref="I12:J12"/>
    <mergeCell ref="C1:G1"/>
    <mergeCell ref="I1:J1"/>
    <mergeCell ref="I2:J2"/>
    <mergeCell ref="I3:J3"/>
    <mergeCell ref="I4:J4"/>
    <mergeCell ref="I5:J5"/>
    <mergeCell ref="I6:J6"/>
    <mergeCell ref="I8:J8"/>
    <mergeCell ref="I9:J9"/>
    <mergeCell ref="I10:J10"/>
    <mergeCell ref="I11:J11"/>
  </mergeCells>
  <pageMargins left="0" right="0" top="0.39370078740157483" bottom="0.31496062992125984" header="0.19685039370078741" footer="0.15748031496062992"/>
  <pageSetup paperSize="8" scale="50" fitToHeight="0" orientation="landscape" cellComments="asDisplayed" r:id="rId1"/>
  <headerFooter alignWithMargins="0">
    <oddFooter>&amp;L&amp;F/&amp;D</oddFooter>
  </headerFooter>
  <colBreaks count="1" manualBreakCount="1">
    <brk id="28"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2"/>
  <sheetViews>
    <sheetView topLeftCell="A18" zoomScale="80" zoomScaleNormal="80" zoomScalePageLayoutView="80" workbookViewId="0">
      <selection activeCell="J20" sqref="J20"/>
    </sheetView>
  </sheetViews>
  <sheetFormatPr baseColWidth="10" defaultColWidth="8.83203125" defaultRowHeight="12" outlineLevelRow="1" x14ac:dyDescent="0.15"/>
  <cols>
    <col min="1" max="1" width="8.83203125" style="8"/>
    <col min="2" max="2" width="11.5" style="8" customWidth="1"/>
    <col min="3" max="3" width="21.83203125" style="8" customWidth="1"/>
    <col min="4" max="4" width="12.83203125" style="8" hidden="1" customWidth="1"/>
    <col min="5" max="5" width="34.6640625" style="8" hidden="1" customWidth="1"/>
    <col min="6" max="6" width="0" style="8" hidden="1" customWidth="1"/>
    <col min="7" max="7" width="18" style="8" hidden="1" customWidth="1"/>
    <col min="8" max="8" width="0" style="8" hidden="1" customWidth="1"/>
    <col min="9" max="9" width="23.33203125" style="8" customWidth="1"/>
    <col min="10" max="10" width="10.5" style="8" customWidth="1"/>
    <col min="11" max="11" width="13.1640625" style="8" customWidth="1"/>
    <col min="12" max="22" width="10.33203125" style="8" customWidth="1"/>
    <col min="23" max="23" width="13.83203125" style="8" customWidth="1"/>
    <col min="24" max="24" width="12.83203125" style="8" customWidth="1"/>
    <col min="25" max="25" width="19.5" style="8" hidden="1" customWidth="1"/>
    <col min="26" max="26" width="14.5" style="8" customWidth="1"/>
    <col min="27" max="27" width="17.6640625" style="8" hidden="1" customWidth="1"/>
    <col min="28" max="60" width="0" style="8" hidden="1" customWidth="1"/>
    <col min="61" max="16384" width="8.83203125" style="8"/>
  </cols>
  <sheetData>
    <row r="1" spans="1:65" s="41" customFormat="1" ht="18" x14ac:dyDescent="0.2">
      <c r="A1" s="104"/>
      <c r="C1"/>
      <c r="D1" s="58"/>
      <c r="E1" s="74"/>
      <c r="F1" s="74"/>
      <c r="G1" s="93"/>
      <c r="H1" s="59"/>
      <c r="I1" s="106"/>
      <c r="J1" s="107"/>
      <c r="K1" s="108"/>
      <c r="L1" s="108"/>
      <c r="M1" s="108"/>
      <c r="N1" s="108"/>
      <c r="O1" s="98"/>
      <c r="P1" s="108"/>
      <c r="Q1" s="108"/>
      <c r="R1" s="108"/>
      <c r="S1" s="108"/>
      <c r="T1" s="108"/>
      <c r="U1" s="108"/>
      <c r="V1" s="108"/>
      <c r="W1" s="9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9"/>
      <c r="BJ1" s="110"/>
      <c r="BL1" s="111"/>
      <c r="BM1" s="112"/>
    </row>
    <row r="2" spans="1:65" s="67" customFormat="1" ht="70.5" customHeight="1" x14ac:dyDescent="0.25">
      <c r="A2" s="400" t="s">
        <v>512</v>
      </c>
      <c r="B2" s="401"/>
      <c r="C2" s="401"/>
      <c r="D2" s="401"/>
      <c r="E2" s="401"/>
      <c r="F2" s="74"/>
      <c r="G2" s="74"/>
      <c r="H2" s="93"/>
      <c r="I2" s="346" t="s">
        <v>150</v>
      </c>
      <c r="J2" s="115" t="s">
        <v>151</v>
      </c>
      <c r="K2" s="51" t="s">
        <v>6</v>
      </c>
      <c r="L2" s="51" t="s">
        <v>7</v>
      </c>
      <c r="M2" s="51" t="s">
        <v>8</v>
      </c>
      <c r="N2" s="51" t="s">
        <v>9</v>
      </c>
      <c r="O2" s="51" t="s">
        <v>10</v>
      </c>
      <c r="P2" s="51" t="s">
        <v>11</v>
      </c>
      <c r="Q2" s="51" t="s">
        <v>12</v>
      </c>
      <c r="R2" s="51" t="s">
        <v>13</v>
      </c>
      <c r="S2" s="51" t="s">
        <v>14</v>
      </c>
      <c r="T2" s="51" t="s">
        <v>15</v>
      </c>
      <c r="U2" s="51" t="s">
        <v>16</v>
      </c>
      <c r="V2" s="51" t="s">
        <v>17</v>
      </c>
      <c r="W2" s="51" t="s">
        <v>132</v>
      </c>
      <c r="X2" s="51" t="s">
        <v>133</v>
      </c>
      <c r="Y2" s="51" t="s">
        <v>5</v>
      </c>
      <c r="Z2" s="52" t="s">
        <v>134</v>
      </c>
      <c r="AA2" s="51"/>
      <c r="AB2" s="116"/>
      <c r="AC2" s="117"/>
      <c r="AD2" s="117"/>
      <c r="AE2" s="117"/>
      <c r="AF2" s="117"/>
      <c r="AG2" s="117"/>
      <c r="AH2" s="117"/>
      <c r="AI2" s="117"/>
      <c r="AJ2" s="117"/>
      <c r="AK2" s="117"/>
      <c r="AL2" s="117"/>
      <c r="AM2" s="116"/>
      <c r="AN2" s="116"/>
      <c r="AO2" s="116"/>
      <c r="AP2" s="116"/>
      <c r="AQ2" s="116"/>
      <c r="AR2" s="116"/>
      <c r="AS2" s="116"/>
      <c r="AT2" s="116"/>
      <c r="AU2" s="116"/>
      <c r="AV2" s="116"/>
      <c r="AW2" s="116"/>
      <c r="AX2" s="118"/>
      <c r="AY2" s="118"/>
      <c r="AZ2" s="118"/>
      <c r="BA2" s="118"/>
      <c r="BB2" s="118"/>
      <c r="BC2" s="118"/>
      <c r="BD2" s="118"/>
      <c r="BE2" s="118"/>
      <c r="BF2" s="118"/>
      <c r="BG2" s="118"/>
      <c r="BH2" s="118"/>
      <c r="BI2" s="3"/>
      <c r="BJ2" s="3"/>
    </row>
    <row r="3" spans="1:65" s="140" customFormat="1" ht="18" hidden="1" x14ac:dyDescent="0.2">
      <c r="A3" s="135"/>
      <c r="B3" s="136"/>
      <c r="C3" s="136"/>
      <c r="D3" s="137"/>
      <c r="E3" s="136"/>
      <c r="F3" s="136"/>
      <c r="G3" s="136"/>
      <c r="H3" s="131"/>
      <c r="I3" s="389"/>
      <c r="J3" s="390"/>
      <c r="K3" s="60"/>
      <c r="L3" s="60"/>
      <c r="M3" s="60"/>
      <c r="N3" s="60"/>
      <c r="O3" s="61"/>
      <c r="P3" s="60"/>
      <c r="Q3" s="60"/>
      <c r="R3" s="60"/>
      <c r="S3" s="60"/>
      <c r="T3" s="60"/>
      <c r="U3" s="60"/>
      <c r="V3" s="60"/>
      <c r="W3" s="61"/>
      <c r="X3" s="60"/>
      <c r="Y3" s="60"/>
      <c r="Z3" s="60"/>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J3" s="66"/>
      <c r="BL3" s="133"/>
      <c r="BM3" s="134"/>
    </row>
    <row r="4" spans="1:65" customFormat="1" ht="18" hidden="1" x14ac:dyDescent="0.2">
      <c r="A4" s="57"/>
      <c r="D4" s="120"/>
      <c r="E4" s="121"/>
      <c r="F4" s="121"/>
      <c r="G4" s="121"/>
      <c r="H4" s="59"/>
      <c r="I4" s="74"/>
      <c r="J4" s="122"/>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3"/>
      <c r="BJ4" s="66"/>
      <c r="BL4" s="67"/>
      <c r="BM4" s="103"/>
    </row>
    <row r="5" spans="1:65" s="140" customFormat="1" ht="18" hidden="1" x14ac:dyDescent="0.2">
      <c r="A5" s="135"/>
      <c r="B5" s="136"/>
      <c r="C5" s="136"/>
      <c r="D5" s="137"/>
      <c r="E5" s="136"/>
      <c r="F5" s="136"/>
      <c r="G5" s="136"/>
      <c r="H5" s="131"/>
      <c r="I5" s="389"/>
      <c r="J5" s="390"/>
      <c r="K5" s="60"/>
      <c r="L5" s="60"/>
      <c r="M5" s="60"/>
      <c r="N5" s="60"/>
      <c r="O5" s="61"/>
      <c r="P5" s="60"/>
      <c r="Q5" s="60"/>
      <c r="R5" s="60"/>
      <c r="S5" s="60"/>
      <c r="T5" s="60"/>
      <c r="U5" s="60"/>
      <c r="V5" s="60"/>
      <c r="W5" s="61"/>
      <c r="X5" s="60"/>
      <c r="Y5" s="60"/>
      <c r="Z5" s="60"/>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J5" s="66"/>
      <c r="BL5" s="133"/>
      <c r="BM5" s="134"/>
    </row>
    <row r="6" spans="1:65" customFormat="1" ht="18" hidden="1" x14ac:dyDescent="0.2">
      <c r="A6" s="57"/>
      <c r="D6" s="120"/>
      <c r="E6" s="121"/>
      <c r="F6" s="121"/>
      <c r="G6" s="121"/>
      <c r="H6" s="59"/>
      <c r="I6" s="74"/>
      <c r="J6" s="122"/>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3"/>
      <c r="BJ6" s="66"/>
      <c r="BL6" s="67"/>
      <c r="BM6" s="103"/>
    </row>
    <row r="7" spans="1:65" s="140" customFormat="1" ht="18" hidden="1" x14ac:dyDescent="0.2">
      <c r="A7" s="135"/>
      <c r="B7" s="136"/>
      <c r="C7" s="136"/>
      <c r="D7" s="137"/>
      <c r="E7" s="136"/>
      <c r="F7" s="136"/>
      <c r="G7" s="136"/>
      <c r="H7" s="131"/>
      <c r="I7" s="389"/>
      <c r="J7" s="390"/>
      <c r="K7" s="60"/>
      <c r="L7" s="60"/>
      <c r="M7" s="60"/>
      <c r="N7" s="60"/>
      <c r="O7" s="61"/>
      <c r="P7" s="60"/>
      <c r="Q7" s="60"/>
      <c r="R7" s="60"/>
      <c r="S7" s="60"/>
      <c r="T7" s="60"/>
      <c r="U7" s="60"/>
      <c r="V7" s="60"/>
      <c r="W7" s="61"/>
      <c r="X7" s="60"/>
      <c r="Y7" s="60"/>
      <c r="Z7" s="60"/>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J7" s="66"/>
      <c r="BL7" s="133"/>
      <c r="BM7" s="134"/>
    </row>
    <row r="8" spans="1:65" customFormat="1" ht="18" hidden="1" x14ac:dyDescent="0.2">
      <c r="A8" s="57"/>
      <c r="D8" s="120"/>
      <c r="E8" s="121"/>
      <c r="F8" s="121"/>
      <c r="G8" s="121"/>
      <c r="H8" s="59"/>
      <c r="I8" s="74"/>
      <c r="J8" s="122"/>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3"/>
      <c r="BJ8" s="66"/>
      <c r="BL8" s="67"/>
      <c r="BM8" s="103"/>
    </row>
    <row r="9" spans="1:65" s="140" customFormat="1" ht="16" x14ac:dyDescent="0.2">
      <c r="A9" s="135"/>
      <c r="B9" s="136"/>
      <c r="C9" s="136"/>
      <c r="D9" s="137"/>
      <c r="E9" s="136"/>
      <c r="F9" s="136"/>
      <c r="G9" s="136"/>
      <c r="H9" s="131"/>
      <c r="I9" s="131"/>
      <c r="J9" s="138"/>
      <c r="K9" s="127"/>
      <c r="L9" s="127"/>
      <c r="M9" s="127"/>
      <c r="N9" s="127"/>
      <c r="O9" s="127"/>
      <c r="P9" s="127"/>
      <c r="Q9" s="127"/>
      <c r="R9" s="127"/>
      <c r="S9" s="127"/>
      <c r="T9" s="127"/>
      <c r="U9" s="127"/>
      <c r="V9" s="127"/>
      <c r="W9" s="127"/>
      <c r="X9" s="127"/>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J9" s="66"/>
      <c r="BL9" s="133"/>
      <c r="BM9" s="134"/>
    </row>
    <row r="10" spans="1:65" s="140" customFormat="1" ht="18" x14ac:dyDescent="0.2">
      <c r="A10" s="135"/>
      <c r="B10" s="136"/>
      <c r="C10" s="136"/>
      <c r="D10" s="137"/>
      <c r="E10" s="136"/>
      <c r="F10" s="136"/>
      <c r="G10" s="136"/>
      <c r="H10" s="131"/>
      <c r="I10" s="345" t="s">
        <v>196</v>
      </c>
      <c r="J10" s="60">
        <v>0</v>
      </c>
      <c r="K10" s="60">
        <v>0</v>
      </c>
      <c r="L10" s="60">
        <v>0</v>
      </c>
      <c r="M10" s="60">
        <v>0</v>
      </c>
      <c r="N10" s="60">
        <v>0</v>
      </c>
      <c r="O10" s="61">
        <v>0</v>
      </c>
      <c r="P10" s="60">
        <v>0</v>
      </c>
      <c r="Q10" s="60">
        <v>0</v>
      </c>
      <c r="R10" s="60">
        <v>0</v>
      </c>
      <c r="S10" s="60">
        <v>0</v>
      </c>
      <c r="T10" s="60">
        <v>0</v>
      </c>
      <c r="U10" s="60">
        <v>0</v>
      </c>
      <c r="V10" s="60">
        <v>0</v>
      </c>
      <c r="W10" s="61">
        <v>0</v>
      </c>
      <c r="X10" s="60">
        <v>0</v>
      </c>
      <c r="Y10" s="60"/>
      <c r="Z10" s="60"/>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J10" s="66"/>
      <c r="BL10" s="133"/>
      <c r="BM10" s="134"/>
    </row>
    <row r="11" spans="1:65" s="140" customFormat="1" ht="18" x14ac:dyDescent="0.2">
      <c r="A11" s="135"/>
      <c r="B11" s="136"/>
      <c r="C11" s="136"/>
      <c r="D11" s="137"/>
      <c r="E11" s="136"/>
      <c r="F11" s="136"/>
      <c r="G11" s="136"/>
      <c r="H11" s="131"/>
      <c r="I11" s="345" t="s">
        <v>496</v>
      </c>
      <c r="J11" s="60">
        <f>J34+J38</f>
        <v>22113</v>
      </c>
      <c r="K11" s="60">
        <f>K34+K38</f>
        <v>34142</v>
      </c>
      <c r="L11" s="60">
        <f t="shared" ref="L11:Y11" si="0">L34+L38</f>
        <v>0</v>
      </c>
      <c r="M11" s="60">
        <f t="shared" si="0"/>
        <v>0</v>
      </c>
      <c r="N11" s="60">
        <f t="shared" si="0"/>
        <v>0</v>
      </c>
      <c r="O11" s="61">
        <f t="shared" si="0"/>
        <v>0</v>
      </c>
      <c r="P11" s="60">
        <f t="shared" si="0"/>
        <v>0</v>
      </c>
      <c r="Q11" s="60">
        <f t="shared" si="0"/>
        <v>0</v>
      </c>
      <c r="R11" s="60">
        <f t="shared" si="0"/>
        <v>0</v>
      </c>
      <c r="S11" s="60">
        <f t="shared" si="0"/>
        <v>578208</v>
      </c>
      <c r="T11" s="60">
        <f t="shared" si="0"/>
        <v>722250</v>
      </c>
      <c r="U11" s="60">
        <f t="shared" si="0"/>
        <v>588250</v>
      </c>
      <c r="V11" s="60">
        <f t="shared" si="0"/>
        <v>632750</v>
      </c>
      <c r="W11" s="61">
        <f t="shared" si="0"/>
        <v>2521458</v>
      </c>
      <c r="X11" s="60">
        <f t="shared" si="0"/>
        <v>2555600</v>
      </c>
      <c r="Y11" s="60">
        <f t="shared" si="0"/>
        <v>0</v>
      </c>
      <c r="Z11" s="60"/>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J11" s="66"/>
      <c r="BL11" s="133"/>
      <c r="BM11" s="134"/>
    </row>
    <row r="12" spans="1:65" s="140" customFormat="1" ht="36" x14ac:dyDescent="0.2">
      <c r="A12" s="135"/>
      <c r="B12" s="136"/>
      <c r="C12" s="136"/>
      <c r="D12" s="137"/>
      <c r="E12" s="136"/>
      <c r="F12" s="136"/>
      <c r="G12" s="136"/>
      <c r="H12" s="131"/>
      <c r="I12" s="345" t="s">
        <v>513</v>
      </c>
      <c r="J12" s="60">
        <f>J47</f>
        <v>0</v>
      </c>
      <c r="K12" s="60">
        <f>K47</f>
        <v>0</v>
      </c>
      <c r="L12" s="60">
        <f t="shared" ref="L12:X12" si="1">L47</f>
        <v>0</v>
      </c>
      <c r="M12" s="60">
        <f t="shared" si="1"/>
        <v>0</v>
      </c>
      <c r="N12" s="60">
        <f t="shared" si="1"/>
        <v>0</v>
      </c>
      <c r="O12" s="61">
        <f t="shared" si="1"/>
        <v>0</v>
      </c>
      <c r="P12" s="60">
        <f t="shared" si="1"/>
        <v>0</v>
      </c>
      <c r="Q12" s="60">
        <f t="shared" si="1"/>
        <v>0</v>
      </c>
      <c r="R12" s="60">
        <f t="shared" si="1"/>
        <v>0</v>
      </c>
      <c r="S12" s="60">
        <f t="shared" si="1"/>
        <v>25000</v>
      </c>
      <c r="T12" s="60">
        <f t="shared" si="1"/>
        <v>75000</v>
      </c>
      <c r="U12" s="60">
        <f t="shared" si="1"/>
        <v>180000</v>
      </c>
      <c r="V12" s="60">
        <f t="shared" si="1"/>
        <v>0</v>
      </c>
      <c r="W12" s="61">
        <f t="shared" si="1"/>
        <v>280000</v>
      </c>
      <c r="X12" s="60">
        <f t="shared" si="1"/>
        <v>280000</v>
      </c>
      <c r="Y12" s="60"/>
      <c r="Z12" s="60"/>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J12" s="66"/>
      <c r="BL12" s="133"/>
      <c r="BM12" s="134"/>
    </row>
    <row r="13" spans="1:65" s="140" customFormat="1" ht="18" x14ac:dyDescent="0.2">
      <c r="A13" s="135"/>
      <c r="B13" s="136"/>
      <c r="C13" s="136"/>
      <c r="D13" s="137"/>
      <c r="E13" s="136"/>
      <c r="F13" s="136"/>
      <c r="G13" s="136"/>
      <c r="H13" s="131"/>
      <c r="I13" s="345" t="s">
        <v>497</v>
      </c>
      <c r="J13" s="60">
        <f>J67</f>
        <v>300</v>
      </c>
      <c r="K13" s="60">
        <f>K67</f>
        <v>5075</v>
      </c>
      <c r="L13" s="60">
        <f t="shared" ref="L13:X13" si="2">L67</f>
        <v>0</v>
      </c>
      <c r="M13" s="60">
        <f t="shared" si="2"/>
        <v>0</v>
      </c>
      <c r="N13" s="60">
        <f t="shared" si="2"/>
        <v>0</v>
      </c>
      <c r="O13" s="61">
        <f t="shared" si="2"/>
        <v>0</v>
      </c>
      <c r="P13" s="60">
        <f t="shared" si="2"/>
        <v>0</v>
      </c>
      <c r="Q13" s="60">
        <f t="shared" si="2"/>
        <v>0</v>
      </c>
      <c r="R13" s="60">
        <f t="shared" si="2"/>
        <v>0</v>
      </c>
      <c r="S13" s="60">
        <f t="shared" si="2"/>
        <v>152325</v>
      </c>
      <c r="T13" s="60">
        <f t="shared" si="2"/>
        <v>122500</v>
      </c>
      <c r="U13" s="60">
        <f t="shared" si="2"/>
        <v>65000</v>
      </c>
      <c r="V13" s="60">
        <f t="shared" si="2"/>
        <v>122000</v>
      </c>
      <c r="W13" s="61">
        <f t="shared" si="2"/>
        <v>461825</v>
      </c>
      <c r="X13" s="60">
        <f t="shared" si="2"/>
        <v>466900</v>
      </c>
      <c r="Y13" s="60"/>
      <c r="Z13" s="60"/>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J13" s="66"/>
      <c r="BL13" s="133"/>
      <c r="BM13" s="134"/>
    </row>
    <row r="14" spans="1:65" s="140" customFormat="1" ht="36" x14ac:dyDescent="0.2">
      <c r="A14" s="135"/>
      <c r="B14" s="136"/>
      <c r="C14" s="136"/>
      <c r="D14" s="137"/>
      <c r="E14" s="136"/>
      <c r="F14" s="136"/>
      <c r="G14" s="136"/>
      <c r="H14" s="131"/>
      <c r="I14" s="345" t="s">
        <v>499</v>
      </c>
      <c r="J14" s="60">
        <f>J71</f>
        <v>80000</v>
      </c>
      <c r="K14" s="60">
        <f t="shared" ref="K14:Y14" si="3">K71</f>
        <v>0</v>
      </c>
      <c r="L14" s="60">
        <f t="shared" si="3"/>
        <v>0</v>
      </c>
      <c r="M14" s="60">
        <f t="shared" si="3"/>
        <v>0</v>
      </c>
      <c r="N14" s="60">
        <f t="shared" si="3"/>
        <v>0</v>
      </c>
      <c r="O14" s="61">
        <f t="shared" si="3"/>
        <v>0</v>
      </c>
      <c r="P14" s="60">
        <f t="shared" si="3"/>
        <v>0</v>
      </c>
      <c r="Q14" s="60">
        <f t="shared" si="3"/>
        <v>0</v>
      </c>
      <c r="R14" s="60">
        <f t="shared" si="3"/>
        <v>0</v>
      </c>
      <c r="S14" s="60">
        <f t="shared" si="3"/>
        <v>34000</v>
      </c>
      <c r="T14" s="60">
        <f t="shared" si="3"/>
        <v>34000</v>
      </c>
      <c r="U14" s="60">
        <f t="shared" si="3"/>
        <v>0</v>
      </c>
      <c r="V14" s="60">
        <f t="shared" si="3"/>
        <v>0</v>
      </c>
      <c r="W14" s="61">
        <f t="shared" si="3"/>
        <v>68000</v>
      </c>
      <c r="X14" s="60">
        <f t="shared" si="3"/>
        <v>68000</v>
      </c>
      <c r="Y14" s="60">
        <f t="shared" si="3"/>
        <v>0</v>
      </c>
      <c r="Z14" s="60"/>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J14" s="66"/>
      <c r="BL14" s="133"/>
      <c r="BM14" s="134"/>
    </row>
    <row r="15" spans="1:65" s="3" customFormat="1" ht="16" x14ac:dyDescent="0.2">
      <c r="A15" s="57"/>
      <c r="B15" s="66"/>
      <c r="C15" s="66"/>
      <c r="D15" s="141"/>
      <c r="E15" s="66"/>
      <c r="F15" s="66"/>
      <c r="G15" s="66"/>
      <c r="H15" s="74"/>
      <c r="I15" s="70"/>
      <c r="J15" s="73">
        <f>SUM(J10:J14)</f>
        <v>102413</v>
      </c>
      <c r="K15" s="73">
        <f>SUM(K10:K14)</f>
        <v>39217</v>
      </c>
      <c r="L15" s="73">
        <f t="shared" ref="L15:Y15" si="4">SUM(L10:L14)</f>
        <v>0</v>
      </c>
      <c r="M15" s="73">
        <f t="shared" si="4"/>
        <v>0</v>
      </c>
      <c r="N15" s="73">
        <f t="shared" si="4"/>
        <v>0</v>
      </c>
      <c r="O15" s="73">
        <f t="shared" si="4"/>
        <v>0</v>
      </c>
      <c r="P15" s="73">
        <f t="shared" si="4"/>
        <v>0</v>
      </c>
      <c r="Q15" s="73">
        <f t="shared" si="4"/>
        <v>0</v>
      </c>
      <c r="R15" s="73">
        <f t="shared" si="4"/>
        <v>0</v>
      </c>
      <c r="S15" s="73">
        <f t="shared" si="4"/>
        <v>789533</v>
      </c>
      <c r="T15" s="73">
        <f t="shared" si="4"/>
        <v>953750</v>
      </c>
      <c r="U15" s="73">
        <f t="shared" si="4"/>
        <v>833250</v>
      </c>
      <c r="V15" s="73">
        <f t="shared" si="4"/>
        <v>754750</v>
      </c>
      <c r="W15" s="73">
        <f t="shared" si="4"/>
        <v>3331283</v>
      </c>
      <c r="X15" s="73">
        <f t="shared" si="4"/>
        <v>3370500</v>
      </c>
      <c r="Y15" s="73">
        <f t="shared" si="4"/>
        <v>0</v>
      </c>
      <c r="Z15" s="73"/>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J15" s="66"/>
      <c r="BM15" s="143"/>
    </row>
    <row r="16" spans="1:65" s="367" customFormat="1" ht="18" customHeight="1" x14ac:dyDescent="0.15">
      <c r="J16" s="368">
        <f>J15-J72</f>
        <v>0</v>
      </c>
      <c r="K16" s="368">
        <f t="shared" ref="K16:X16" si="5">K15-K72</f>
        <v>0</v>
      </c>
      <c r="L16" s="368">
        <f t="shared" si="5"/>
        <v>0</v>
      </c>
      <c r="M16" s="368">
        <f t="shared" si="5"/>
        <v>0</v>
      </c>
      <c r="N16" s="368">
        <f t="shared" si="5"/>
        <v>0</v>
      </c>
      <c r="O16" s="368">
        <f t="shared" si="5"/>
        <v>0</v>
      </c>
      <c r="P16" s="368">
        <f t="shared" si="5"/>
        <v>0</v>
      </c>
      <c r="Q16" s="368">
        <f t="shared" si="5"/>
        <v>0</v>
      </c>
      <c r="R16" s="368">
        <f t="shared" si="5"/>
        <v>0</v>
      </c>
      <c r="S16" s="368">
        <f t="shared" si="5"/>
        <v>0</v>
      </c>
      <c r="T16" s="368">
        <f t="shared" si="5"/>
        <v>0</v>
      </c>
      <c r="U16" s="368">
        <f t="shared" si="5"/>
        <v>0</v>
      </c>
      <c r="V16" s="368">
        <f t="shared" si="5"/>
        <v>0</v>
      </c>
      <c r="W16" s="368">
        <f t="shared" si="5"/>
        <v>0</v>
      </c>
      <c r="X16" s="368">
        <f t="shared" si="5"/>
        <v>0</v>
      </c>
    </row>
    <row r="17" spans="1:62" s="349" customFormat="1" ht="80" x14ac:dyDescent="0.2">
      <c r="A17" s="348"/>
      <c r="B17" s="51" t="s">
        <v>185</v>
      </c>
      <c r="C17" s="51" t="s">
        <v>186</v>
      </c>
      <c r="D17" s="156" t="s">
        <v>187</v>
      </c>
      <c r="E17" s="51" t="s">
        <v>188</v>
      </c>
      <c r="F17" s="51" t="s">
        <v>189</v>
      </c>
      <c r="G17" s="51" t="s">
        <v>190</v>
      </c>
      <c r="H17" s="51" t="s">
        <v>191</v>
      </c>
      <c r="I17" s="51" t="s">
        <v>150</v>
      </c>
      <c r="J17" s="115" t="s">
        <v>151</v>
      </c>
      <c r="K17" s="51" t="s">
        <v>6</v>
      </c>
      <c r="L17" s="51" t="s">
        <v>7</v>
      </c>
      <c r="M17" s="51" t="s">
        <v>8</v>
      </c>
      <c r="N17" s="51" t="s">
        <v>9</v>
      </c>
      <c r="O17" s="51" t="s">
        <v>10</v>
      </c>
      <c r="P17" s="51" t="s">
        <v>11</v>
      </c>
      <c r="Q17" s="51" t="s">
        <v>12</v>
      </c>
      <c r="R17" s="51" t="s">
        <v>13</v>
      </c>
      <c r="S17" s="51" t="s">
        <v>14</v>
      </c>
      <c r="T17" s="51" t="s">
        <v>15</v>
      </c>
      <c r="U17" s="51" t="s">
        <v>16</v>
      </c>
      <c r="V17" s="51" t="s">
        <v>17</v>
      </c>
      <c r="W17" s="51" t="s">
        <v>132</v>
      </c>
      <c r="X17" s="51" t="s">
        <v>133</v>
      </c>
      <c r="Y17" s="51" t="s">
        <v>5</v>
      </c>
      <c r="Z17" s="51" t="s">
        <v>134</v>
      </c>
      <c r="AA17" s="350" t="s">
        <v>135</v>
      </c>
      <c r="AB17" s="27" t="s">
        <v>136</v>
      </c>
      <c r="AC17" s="26" t="s">
        <v>78</v>
      </c>
      <c r="AD17" s="26" t="s">
        <v>79</v>
      </c>
      <c r="AE17" s="26" t="s">
        <v>80</v>
      </c>
      <c r="AF17" s="26" t="s">
        <v>81</v>
      </c>
      <c r="AG17" s="26" t="s">
        <v>82</v>
      </c>
      <c r="AH17" s="26" t="s">
        <v>83</v>
      </c>
      <c r="AI17" s="26" t="s">
        <v>84</v>
      </c>
      <c r="AJ17" s="26" t="s">
        <v>85</v>
      </c>
      <c r="AK17" s="26" t="s">
        <v>86</v>
      </c>
      <c r="AL17" s="26" t="s">
        <v>87</v>
      </c>
      <c r="AM17" s="27" t="s">
        <v>88</v>
      </c>
      <c r="AN17" s="27" t="s">
        <v>89</v>
      </c>
      <c r="AO17" s="27" t="s">
        <v>90</v>
      </c>
      <c r="AP17" s="27" t="s">
        <v>91</v>
      </c>
      <c r="AQ17" s="27" t="s">
        <v>92</v>
      </c>
      <c r="AR17" s="27" t="s">
        <v>93</v>
      </c>
      <c r="AS17" s="27" t="s">
        <v>94</v>
      </c>
      <c r="AT17" s="27" t="s">
        <v>95</v>
      </c>
      <c r="AU17" s="27" t="s">
        <v>96</v>
      </c>
      <c r="AV17" s="27" t="s">
        <v>97</v>
      </c>
      <c r="AW17" s="27" t="s">
        <v>98</v>
      </c>
      <c r="AX17" s="351" t="s">
        <v>137</v>
      </c>
      <c r="AY17" s="351" t="s">
        <v>138</v>
      </c>
      <c r="AZ17" s="351" t="s">
        <v>139</v>
      </c>
      <c r="BA17" s="351" t="s">
        <v>140</v>
      </c>
      <c r="BB17" s="351" t="s">
        <v>141</v>
      </c>
      <c r="BC17" s="351" t="s">
        <v>142</v>
      </c>
      <c r="BD17" s="351" t="s">
        <v>143</v>
      </c>
      <c r="BE17" s="351" t="s">
        <v>144</v>
      </c>
      <c r="BF17" s="351" t="s">
        <v>145</v>
      </c>
      <c r="BG17" s="351" t="s">
        <v>146</v>
      </c>
      <c r="BH17" s="351" t="s">
        <v>147</v>
      </c>
    </row>
    <row r="18" spans="1:62" s="102" customFormat="1" ht="31.5" customHeight="1" x14ac:dyDescent="0.2">
      <c r="A18" s="357"/>
      <c r="B18" s="159"/>
      <c r="C18" s="160" t="s">
        <v>195</v>
      </c>
      <c r="D18" s="161"/>
      <c r="E18" s="160"/>
      <c r="F18" s="160"/>
      <c r="G18" s="160"/>
      <c r="H18" s="160"/>
      <c r="I18" s="160"/>
      <c r="J18" s="162"/>
      <c r="K18" s="163"/>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4"/>
      <c r="BJ18" s="4"/>
    </row>
    <row r="19" spans="1:62" s="366" customFormat="1" ht="16" x14ac:dyDescent="0.2">
      <c r="A19" s="362"/>
      <c r="B19" s="201"/>
      <c r="C19" s="201"/>
      <c r="D19" s="363"/>
      <c r="E19" s="201"/>
      <c r="F19" s="201"/>
      <c r="G19" s="201"/>
      <c r="H19" s="201"/>
      <c r="I19" s="201"/>
      <c r="J19" s="202"/>
      <c r="K19" s="201"/>
      <c r="L19" s="201"/>
      <c r="M19" s="201"/>
      <c r="N19" s="201"/>
      <c r="O19" s="201"/>
      <c r="P19" s="201"/>
      <c r="Q19" s="201"/>
      <c r="R19" s="201"/>
      <c r="S19" s="201"/>
      <c r="T19" s="201"/>
      <c r="U19" s="201"/>
      <c r="V19" s="201"/>
      <c r="W19" s="201"/>
      <c r="X19" s="201"/>
      <c r="Y19" s="201"/>
      <c r="Z19" s="201"/>
      <c r="AA19" s="364"/>
      <c r="AB19" s="364"/>
      <c r="AC19" s="364"/>
      <c r="AD19" s="364"/>
      <c r="AE19" s="364"/>
      <c r="AF19" s="364"/>
      <c r="AG19" s="364"/>
      <c r="AH19" s="364"/>
      <c r="AI19" s="364"/>
      <c r="AJ19" s="364"/>
      <c r="AK19" s="364"/>
      <c r="AL19" s="364"/>
      <c r="AM19" s="364"/>
      <c r="AN19" s="364"/>
      <c r="AO19" s="364"/>
      <c r="AP19" s="364"/>
      <c r="AQ19" s="364"/>
      <c r="AR19" s="364"/>
      <c r="AS19" s="365"/>
      <c r="AT19" s="365"/>
      <c r="AU19" s="364"/>
      <c r="AV19" s="364"/>
      <c r="AW19" s="364"/>
      <c r="AX19" s="364"/>
      <c r="AY19" s="364"/>
      <c r="AZ19" s="364"/>
      <c r="BA19" s="364"/>
      <c r="BB19" s="364"/>
      <c r="BC19" s="364"/>
      <c r="BD19" s="364"/>
      <c r="BE19" s="364"/>
      <c r="BF19" s="364"/>
      <c r="BG19" s="364"/>
      <c r="BH19" s="364"/>
    </row>
    <row r="20" spans="1:62" s="126" customFormat="1" ht="45.75" customHeight="1" outlineLevel="1" x14ac:dyDescent="0.2">
      <c r="A20" s="357">
        <v>3</v>
      </c>
      <c r="B20" s="147" t="s">
        <v>167</v>
      </c>
      <c r="C20" s="147" t="s">
        <v>207</v>
      </c>
      <c r="D20" s="147" t="s">
        <v>208</v>
      </c>
      <c r="E20" s="147" t="s">
        <v>209</v>
      </c>
      <c r="F20" s="147">
        <v>1</v>
      </c>
      <c r="G20" s="179" t="s">
        <v>210</v>
      </c>
      <c r="H20" s="168" t="s">
        <v>199</v>
      </c>
      <c r="I20" s="108" t="s">
        <v>200</v>
      </c>
      <c r="J20" s="108"/>
      <c r="K20" s="108"/>
      <c r="L20" s="108"/>
      <c r="M20" s="108"/>
      <c r="N20" s="108"/>
      <c r="O20" s="172">
        <f>L20+M20+N20</f>
        <v>0</v>
      </c>
      <c r="P20" s="108"/>
      <c r="Q20" s="108"/>
      <c r="R20" s="108"/>
      <c r="S20" s="108">
        <v>20000</v>
      </c>
      <c r="T20" s="108">
        <v>30000</v>
      </c>
      <c r="U20" s="108"/>
      <c r="V20" s="108"/>
      <c r="W20" s="146">
        <f t="shared" ref="W20:W31" si="6">O20+P20+Q20+R20+S20+T20+U20+V20</f>
        <v>50000</v>
      </c>
      <c r="X20" s="174">
        <f t="shared" ref="X20:X31" si="7">K20+L20+M20+N20+P20+Q20+R20+S20+T20+U20+V20</f>
        <v>50000</v>
      </c>
      <c r="Y20" s="175"/>
      <c r="Z20" s="175" t="s">
        <v>202</v>
      </c>
      <c r="AA20" s="175" t="s">
        <v>203</v>
      </c>
      <c r="AB20" s="62"/>
      <c r="AC20" s="63"/>
      <c r="AD20" s="63"/>
      <c r="AE20" s="63"/>
      <c r="AF20" s="63"/>
      <c r="AG20" s="63"/>
      <c r="AH20" s="63"/>
      <c r="AI20" s="63"/>
      <c r="AJ20" s="180"/>
      <c r="AK20" s="180" t="e">
        <f>'[1]Omb 30D återst vårdavd'!L8</f>
        <v>#REF!</v>
      </c>
      <c r="AL20" s="180" t="e">
        <f>'[1]Omb 30D återst vårdavd'!M8</f>
        <v>#REF!</v>
      </c>
      <c r="AM20" s="63"/>
      <c r="AN20" s="64"/>
      <c r="AO20" s="64"/>
      <c r="AP20" s="64"/>
      <c r="AQ20" s="64"/>
      <c r="AR20" s="64"/>
      <c r="AS20" s="181"/>
      <c r="AT20" s="181"/>
      <c r="AU20" s="180"/>
      <c r="AV20" s="182" t="e">
        <f>-'[1]Omb 30D återst vårdavd'!L22</f>
        <v>#REF!</v>
      </c>
      <c r="AW20" s="182" t="e">
        <f>-'[1]Omb 30D återst vårdavd'!M22</f>
        <v>#REF!</v>
      </c>
      <c r="AX20" s="65"/>
      <c r="AY20" s="65"/>
      <c r="AZ20" s="65"/>
      <c r="BA20" s="65"/>
      <c r="BB20" s="65"/>
      <c r="BC20" s="65"/>
      <c r="BD20" s="65"/>
      <c r="BE20" s="65"/>
      <c r="BF20" s="65"/>
      <c r="BG20" s="65"/>
      <c r="BH20" s="65"/>
      <c r="BI20" s="158"/>
      <c r="BJ20" s="158"/>
    </row>
    <row r="21" spans="1:62" s="126" customFormat="1" ht="48" outlineLevel="1" x14ac:dyDescent="0.2">
      <c r="A21" s="357">
        <v>5</v>
      </c>
      <c r="B21" s="147" t="s">
        <v>167</v>
      </c>
      <c r="C21" s="147" t="s">
        <v>217</v>
      </c>
      <c r="D21" s="147">
        <v>8041668</v>
      </c>
      <c r="E21" s="147" t="s">
        <v>218</v>
      </c>
      <c r="F21" s="147">
        <v>1</v>
      </c>
      <c r="G21" s="179" t="s">
        <v>219</v>
      </c>
      <c r="H21" s="168" t="s">
        <v>199</v>
      </c>
      <c r="I21" s="108" t="s">
        <v>200</v>
      </c>
      <c r="J21" s="108">
        <v>2700</v>
      </c>
      <c r="K21" s="108">
        <v>642</v>
      </c>
      <c r="L21" s="108">
        <v>0</v>
      </c>
      <c r="M21" s="108">
        <v>0</v>
      </c>
      <c r="N21" s="108">
        <v>0</v>
      </c>
      <c r="O21" s="172">
        <f t="shared" ref="O21:O31" si="8">L21+M21+N21</f>
        <v>0</v>
      </c>
      <c r="P21" s="108">
        <v>0</v>
      </c>
      <c r="Q21" s="108"/>
      <c r="R21" s="108"/>
      <c r="S21" s="108">
        <f>4500-42</f>
        <v>4458</v>
      </c>
      <c r="T21" s="108">
        <f>10000+30000</f>
        <v>40000</v>
      </c>
      <c r="U21" s="108">
        <f>110000+12000-50000</f>
        <v>72000</v>
      </c>
      <c r="V21" s="108">
        <v>145000</v>
      </c>
      <c r="W21" s="146">
        <f t="shared" si="6"/>
        <v>261458</v>
      </c>
      <c r="X21" s="174">
        <f t="shared" si="7"/>
        <v>262100</v>
      </c>
      <c r="Y21" s="175" t="s">
        <v>220</v>
      </c>
      <c r="Z21" s="175" t="s">
        <v>202</v>
      </c>
      <c r="AA21" s="175" t="s">
        <v>221</v>
      </c>
      <c r="AB21" s="62"/>
      <c r="AC21" s="63"/>
      <c r="AD21" s="63"/>
      <c r="AE21" s="63"/>
      <c r="AF21" s="63"/>
      <c r="AG21" s="63">
        <v>0</v>
      </c>
      <c r="AH21" s="63">
        <v>0</v>
      </c>
      <c r="AI21" s="63">
        <v>0</v>
      </c>
      <c r="AJ21" s="180">
        <v>0</v>
      </c>
      <c r="AK21" s="180">
        <v>0</v>
      </c>
      <c r="AL21" s="180">
        <v>0</v>
      </c>
      <c r="AM21" s="63"/>
      <c r="AN21" s="64"/>
      <c r="AO21" s="64"/>
      <c r="AP21" s="64"/>
      <c r="AQ21" s="64"/>
      <c r="AR21" s="64">
        <v>0</v>
      </c>
      <c r="AS21" s="181">
        <v>0</v>
      </c>
      <c r="AT21" s="181">
        <v>0</v>
      </c>
      <c r="AU21" s="180">
        <v>0</v>
      </c>
      <c r="AV21" s="182">
        <v>0</v>
      </c>
      <c r="AW21" s="182">
        <v>0</v>
      </c>
      <c r="AX21" s="65"/>
      <c r="AY21" s="65"/>
      <c r="AZ21" s="65"/>
      <c r="BA21" s="65"/>
      <c r="BB21" s="65"/>
      <c r="BC21" s="65"/>
      <c r="BD21" s="65"/>
      <c r="BE21" s="65"/>
      <c r="BF21" s="65"/>
      <c r="BG21" s="65"/>
      <c r="BH21" s="65">
        <v>5000</v>
      </c>
      <c r="BI21" s="158"/>
      <c r="BJ21" s="158"/>
    </row>
    <row r="22" spans="1:62" s="126" customFormat="1" ht="48" outlineLevel="1" x14ac:dyDescent="0.2">
      <c r="A22" s="357">
        <v>7</v>
      </c>
      <c r="B22" s="147" t="s">
        <v>167</v>
      </c>
      <c r="C22" s="147" t="s">
        <v>516</v>
      </c>
      <c r="D22" s="347"/>
      <c r="E22" s="147" t="s">
        <v>228</v>
      </c>
      <c r="F22" s="147">
        <v>3</v>
      </c>
      <c r="G22" s="179" t="s">
        <v>229</v>
      </c>
      <c r="H22" s="168" t="s">
        <v>230</v>
      </c>
      <c r="I22" s="168" t="s">
        <v>200</v>
      </c>
      <c r="J22" s="147">
        <v>0</v>
      </c>
      <c r="K22" s="108"/>
      <c r="L22" s="108"/>
      <c r="M22" s="108"/>
      <c r="N22" s="108"/>
      <c r="O22" s="172">
        <f t="shared" si="8"/>
        <v>0</v>
      </c>
      <c r="P22" s="108"/>
      <c r="Q22" s="108"/>
      <c r="R22" s="108">
        <v>0</v>
      </c>
      <c r="S22" s="108">
        <v>10000</v>
      </c>
      <c r="T22" s="108">
        <v>50000</v>
      </c>
      <c r="U22" s="108">
        <v>50000</v>
      </c>
      <c r="V22" s="108"/>
      <c r="W22" s="146">
        <f t="shared" si="6"/>
        <v>110000</v>
      </c>
      <c r="X22" s="174">
        <f t="shared" si="7"/>
        <v>110000</v>
      </c>
      <c r="Y22" s="175"/>
      <c r="Z22" s="175" t="s">
        <v>202</v>
      </c>
      <c r="AA22" s="175" t="s">
        <v>231</v>
      </c>
      <c r="AB22" s="62"/>
      <c r="AC22" s="63"/>
      <c r="AD22" s="63"/>
      <c r="AE22" s="63"/>
      <c r="AF22" s="63"/>
      <c r="AG22" s="63"/>
      <c r="AH22" s="63"/>
      <c r="AI22" s="185"/>
      <c r="AJ22" s="185"/>
      <c r="AK22" s="185">
        <v>0</v>
      </c>
      <c r="AL22" s="185" t="e">
        <f>'[1]30-50 husen reinvest'!L8</f>
        <v>#REF!</v>
      </c>
      <c r="AM22" s="62"/>
      <c r="AN22" s="64"/>
      <c r="AO22" s="64"/>
      <c r="AP22" s="64"/>
      <c r="AQ22" s="64"/>
      <c r="AR22" s="64"/>
      <c r="AS22" s="64"/>
      <c r="AT22" s="185"/>
      <c r="AU22" s="185"/>
      <c r="AV22" s="185">
        <v>0</v>
      </c>
      <c r="AW22" s="185" t="e">
        <f>-'[1]30-50 husen reinvest'!L22</f>
        <v>#REF!</v>
      </c>
      <c r="AX22" s="65"/>
      <c r="AY22" s="65"/>
      <c r="AZ22" s="65"/>
      <c r="BA22" s="65"/>
      <c r="BB22" s="65"/>
      <c r="BC22" s="65"/>
      <c r="BD22" s="65"/>
      <c r="BE22" s="65"/>
      <c r="BF22" s="65"/>
      <c r="BG22" s="65"/>
      <c r="BH22" s="65">
        <v>20000</v>
      </c>
      <c r="BI22" s="158"/>
      <c r="BJ22" s="158"/>
    </row>
    <row r="23" spans="1:62" s="67" customFormat="1" ht="30.75" customHeight="1" outlineLevel="1" x14ac:dyDescent="0.2">
      <c r="A23" s="357">
        <v>8</v>
      </c>
      <c r="B23" s="168" t="s">
        <v>167</v>
      </c>
      <c r="C23" s="168" t="s">
        <v>232</v>
      </c>
      <c r="D23" s="188"/>
      <c r="E23" s="168" t="s">
        <v>233</v>
      </c>
      <c r="F23" s="168">
        <v>3</v>
      </c>
      <c r="G23" s="169" t="s">
        <v>234</v>
      </c>
      <c r="H23" s="168" t="s">
        <v>199</v>
      </c>
      <c r="I23" s="168" t="s">
        <v>200</v>
      </c>
      <c r="J23" s="147">
        <v>0</v>
      </c>
      <c r="K23" s="108"/>
      <c r="L23" s="108"/>
      <c r="M23" s="108"/>
      <c r="N23" s="108">
        <v>0</v>
      </c>
      <c r="O23" s="172">
        <f t="shared" si="8"/>
        <v>0</v>
      </c>
      <c r="P23" s="108"/>
      <c r="Q23" s="108"/>
      <c r="R23" s="108"/>
      <c r="S23" s="108">
        <v>10000</v>
      </c>
      <c r="T23" s="108"/>
      <c r="U23" s="108"/>
      <c r="V23" s="108"/>
      <c r="W23" s="146">
        <f t="shared" si="6"/>
        <v>10000</v>
      </c>
      <c r="X23" s="174">
        <f t="shared" si="7"/>
        <v>10000</v>
      </c>
      <c r="Y23" s="175"/>
      <c r="Z23" s="175" t="s">
        <v>202</v>
      </c>
      <c r="AA23" s="175" t="s">
        <v>231</v>
      </c>
      <c r="AB23" s="62"/>
      <c r="AC23" s="63"/>
      <c r="AD23" s="63"/>
      <c r="AE23" s="63"/>
      <c r="AF23" s="63"/>
      <c r="AG23" s="63"/>
      <c r="AH23" s="63"/>
      <c r="AI23" s="63"/>
      <c r="AJ23" s="63" t="e">
        <f>'[1]Gränby ambulansstation'!L8</f>
        <v>#REF!</v>
      </c>
      <c r="AK23" s="63" t="e">
        <f>'[1]Gränby ambulansstation'!M8</f>
        <v>#REF!</v>
      </c>
      <c r="AL23" s="63" t="e">
        <f>'[1]Gränby ambulansstation'!N8</f>
        <v>#REF!</v>
      </c>
      <c r="AM23" s="62"/>
      <c r="AN23" s="64"/>
      <c r="AO23" s="64"/>
      <c r="AP23" s="64"/>
      <c r="AQ23" s="64"/>
      <c r="AR23" s="64"/>
      <c r="AS23" s="64"/>
      <c r="AT23" s="64"/>
      <c r="AU23" s="64" t="e">
        <f>-'[1]Gränby ambulansstation'!L22</f>
        <v>#REF!</v>
      </c>
      <c r="AV23" s="64" t="e">
        <f>-'[1]Gränby ambulansstation'!M22</f>
        <v>#REF!</v>
      </c>
      <c r="AW23" s="64" t="e">
        <f>-'[1]Gränby ambulansstation'!N22</f>
        <v>#REF!</v>
      </c>
      <c r="AX23" s="65"/>
      <c r="AY23" s="65"/>
      <c r="AZ23" s="65"/>
      <c r="BA23" s="65"/>
      <c r="BB23" s="65"/>
      <c r="BC23" s="65"/>
      <c r="BD23" s="65"/>
      <c r="BE23" s="65"/>
      <c r="BF23" s="65"/>
      <c r="BG23" s="65"/>
      <c r="BH23" s="65"/>
      <c r="BI23" s="3"/>
      <c r="BJ23" s="3"/>
    </row>
    <row r="24" spans="1:62" s="126" customFormat="1" ht="45.75" hidden="1" customHeight="1" outlineLevel="1" x14ac:dyDescent="0.2">
      <c r="A24" s="357">
        <v>10</v>
      </c>
      <c r="B24" s="168" t="s">
        <v>167</v>
      </c>
      <c r="C24" s="168" t="s">
        <v>238</v>
      </c>
      <c r="D24" s="177" t="s">
        <v>208</v>
      </c>
      <c r="E24" s="168" t="s">
        <v>236</v>
      </c>
      <c r="F24" s="168">
        <v>4</v>
      </c>
      <c r="G24" s="169" t="s">
        <v>237</v>
      </c>
      <c r="H24" s="168" t="s">
        <v>199</v>
      </c>
      <c r="I24" s="168" t="s">
        <v>200</v>
      </c>
      <c r="J24" s="147">
        <v>0</v>
      </c>
      <c r="K24" s="108">
        <v>2000</v>
      </c>
      <c r="L24" s="108">
        <v>0</v>
      </c>
      <c r="M24" s="108">
        <v>0</v>
      </c>
      <c r="N24" s="108">
        <v>0</v>
      </c>
      <c r="O24" s="172">
        <f t="shared" si="8"/>
        <v>0</v>
      </c>
      <c r="P24" s="108">
        <v>0</v>
      </c>
      <c r="Q24" s="108"/>
      <c r="R24" s="108"/>
      <c r="S24" s="108">
        <v>4000</v>
      </c>
      <c r="T24" s="108">
        <v>10000</v>
      </c>
      <c r="U24" s="108">
        <v>20000</v>
      </c>
      <c r="V24" s="108">
        <v>10000</v>
      </c>
      <c r="W24" s="146">
        <f t="shared" si="6"/>
        <v>44000</v>
      </c>
      <c r="X24" s="189">
        <f t="shared" si="7"/>
        <v>46000</v>
      </c>
      <c r="Y24" s="175"/>
      <c r="Z24" s="175" t="s">
        <v>202</v>
      </c>
      <c r="AA24" s="175" t="s">
        <v>231</v>
      </c>
      <c r="AB24" s="62"/>
      <c r="AC24" s="63"/>
      <c r="AD24" s="63"/>
      <c r="AE24" s="63"/>
      <c r="AF24" s="63"/>
      <c r="AG24" s="63">
        <v>0</v>
      </c>
      <c r="AH24" s="63">
        <v>0</v>
      </c>
      <c r="AI24" s="63">
        <v>0</v>
      </c>
      <c r="AJ24" s="63">
        <v>0</v>
      </c>
      <c r="AK24" s="63">
        <v>0</v>
      </c>
      <c r="AL24" s="63">
        <v>0</v>
      </c>
      <c r="AM24" s="62"/>
      <c r="AN24" s="64"/>
      <c r="AO24" s="64"/>
      <c r="AP24" s="64"/>
      <c r="AQ24" s="64"/>
      <c r="AR24" s="64">
        <v>0</v>
      </c>
      <c r="AS24" s="64">
        <v>0</v>
      </c>
      <c r="AT24" s="64">
        <v>0</v>
      </c>
      <c r="AU24" s="64">
        <v>0</v>
      </c>
      <c r="AV24" s="64">
        <v>0</v>
      </c>
      <c r="AW24" s="64">
        <v>0</v>
      </c>
      <c r="AX24" s="65"/>
      <c r="AY24" s="65"/>
      <c r="AZ24" s="65"/>
      <c r="BA24" s="65"/>
      <c r="BB24" s="65"/>
      <c r="BC24" s="65"/>
      <c r="BD24" s="65"/>
      <c r="BE24" s="65"/>
      <c r="BF24" s="65"/>
      <c r="BG24" s="65"/>
      <c r="BH24" s="65"/>
      <c r="BI24" s="158"/>
      <c r="BJ24" s="158"/>
    </row>
    <row r="25" spans="1:62" s="126" customFormat="1" ht="91.5" hidden="1" customHeight="1" outlineLevel="1" x14ac:dyDescent="0.2">
      <c r="A25" s="357">
        <v>11</v>
      </c>
      <c r="B25" s="147" t="s">
        <v>167</v>
      </c>
      <c r="C25" s="147" t="s">
        <v>239</v>
      </c>
      <c r="D25" s="147" t="s">
        <v>208</v>
      </c>
      <c r="E25" s="147" t="s">
        <v>240</v>
      </c>
      <c r="F25" s="147">
        <v>4</v>
      </c>
      <c r="G25" s="179" t="s">
        <v>237</v>
      </c>
      <c r="H25" s="168" t="s">
        <v>199</v>
      </c>
      <c r="I25" s="168" t="s">
        <v>200</v>
      </c>
      <c r="J25" s="147">
        <v>0</v>
      </c>
      <c r="K25" s="108"/>
      <c r="L25" s="108">
        <v>0</v>
      </c>
      <c r="M25" s="108"/>
      <c r="N25" s="108"/>
      <c r="O25" s="172">
        <f t="shared" si="8"/>
        <v>0</v>
      </c>
      <c r="P25" s="108"/>
      <c r="Q25" s="108"/>
      <c r="R25" s="108"/>
      <c r="S25" s="108">
        <v>2500</v>
      </c>
      <c r="T25" s="108"/>
      <c r="U25" s="108"/>
      <c r="V25" s="108"/>
      <c r="W25" s="146">
        <f t="shared" si="6"/>
        <v>2500</v>
      </c>
      <c r="X25" s="189">
        <f t="shared" si="7"/>
        <v>2500</v>
      </c>
      <c r="Y25" s="175"/>
      <c r="Z25" s="175" t="s">
        <v>202</v>
      </c>
      <c r="AA25" s="175" t="s">
        <v>231</v>
      </c>
      <c r="AB25" s="62"/>
      <c r="AC25" s="63">
        <v>0</v>
      </c>
      <c r="AD25" s="63">
        <v>0</v>
      </c>
      <c r="AE25" s="63">
        <v>0</v>
      </c>
      <c r="AF25" s="63">
        <v>0</v>
      </c>
      <c r="AG25" s="63">
        <v>0</v>
      </c>
      <c r="AH25" s="63">
        <v>0</v>
      </c>
      <c r="AI25" s="63" t="e">
        <f>'[1]barnspec mottag plan 5 till 6'!R8/12*6</f>
        <v>#REF!</v>
      </c>
      <c r="AJ25" s="63" t="e">
        <f>'[1]barnspec mottag plan 5 till 6'!S8</f>
        <v>#REF!</v>
      </c>
      <c r="AK25" s="63" t="e">
        <f>'[1]barnspec mottag plan 5 till 6'!T8</f>
        <v>#REF!</v>
      </c>
      <c r="AL25" s="63" t="e">
        <f>'[1]barnspec mottag plan 5 till 6'!U8</f>
        <v>#REF!</v>
      </c>
      <c r="AM25" s="62"/>
      <c r="AN25" s="64"/>
      <c r="AO25" s="64"/>
      <c r="AP25" s="64"/>
      <c r="AQ25" s="64"/>
      <c r="AR25" s="64">
        <v>0</v>
      </c>
      <c r="AS25" s="64">
        <v>0</v>
      </c>
      <c r="AT25" s="64" t="e">
        <f>-'[1]barnspec mottag plan 5 till 6'!L22/12*6</f>
        <v>#REF!</v>
      </c>
      <c r="AU25" s="64" t="e">
        <f>-'[1]barnspec mottag plan 5 till 6'!M22</f>
        <v>#REF!</v>
      </c>
      <c r="AV25" s="64" t="e">
        <f>-'[1]barnspec mottag plan 5 till 6'!N22</f>
        <v>#REF!</v>
      </c>
      <c r="AW25" s="64" t="e">
        <f>-'[1]barnspec mottag plan 5 till 6'!O22</f>
        <v>#REF!</v>
      </c>
      <c r="AX25" s="65"/>
      <c r="AY25" s="65"/>
      <c r="AZ25" s="65"/>
      <c r="BA25" s="65"/>
      <c r="BB25" s="65"/>
      <c r="BC25" s="65"/>
      <c r="BD25" s="65"/>
      <c r="BE25" s="65"/>
      <c r="BF25" s="65"/>
      <c r="BG25" s="65"/>
      <c r="BH25" s="65"/>
      <c r="BI25" s="158"/>
      <c r="BJ25" s="158"/>
    </row>
    <row r="26" spans="1:62" s="126" customFormat="1" ht="48" outlineLevel="1" x14ac:dyDescent="0.2">
      <c r="A26" s="357">
        <v>13</v>
      </c>
      <c r="B26" s="147" t="s">
        <v>167</v>
      </c>
      <c r="C26" s="147" t="s">
        <v>242</v>
      </c>
      <c r="D26" s="147">
        <v>8041639</v>
      </c>
      <c r="E26" s="147" t="s">
        <v>243</v>
      </c>
      <c r="F26" s="147">
        <v>2</v>
      </c>
      <c r="G26" s="179" t="s">
        <v>244</v>
      </c>
      <c r="H26" s="168" t="s">
        <v>199</v>
      </c>
      <c r="I26" s="168" t="s">
        <v>245</v>
      </c>
      <c r="J26" s="147">
        <v>150</v>
      </c>
      <c r="K26" s="108">
        <v>3000</v>
      </c>
      <c r="L26" s="108">
        <v>0</v>
      </c>
      <c r="M26" s="108">
        <v>0</v>
      </c>
      <c r="N26" s="108"/>
      <c r="O26" s="172">
        <f t="shared" si="8"/>
        <v>0</v>
      </c>
      <c r="P26" s="108"/>
      <c r="Q26" s="108"/>
      <c r="R26" s="108"/>
      <c r="S26" s="108">
        <v>17000</v>
      </c>
      <c r="T26" s="108">
        <v>40000</v>
      </c>
      <c r="U26" s="108"/>
      <c r="V26" s="108"/>
      <c r="W26" s="146">
        <f t="shared" si="6"/>
        <v>57000</v>
      </c>
      <c r="X26" s="189">
        <f t="shared" si="7"/>
        <v>60000</v>
      </c>
      <c r="Y26" s="147" t="s">
        <v>246</v>
      </c>
      <c r="Z26" s="175" t="s">
        <v>215</v>
      </c>
      <c r="AA26" s="175" t="s">
        <v>216</v>
      </c>
      <c r="AB26" s="62"/>
      <c r="AC26" s="63"/>
      <c r="AD26" s="63">
        <v>0</v>
      </c>
      <c r="AE26" s="63">
        <v>0</v>
      </c>
      <c r="AF26" s="63">
        <v>0</v>
      </c>
      <c r="AG26" s="180">
        <v>0</v>
      </c>
      <c r="AH26" s="180">
        <v>0</v>
      </c>
      <c r="AI26" s="180">
        <v>0</v>
      </c>
      <c r="AJ26" s="180" t="e">
        <f>[1]cyklotron!L8</f>
        <v>#REF!</v>
      </c>
      <c r="AK26" s="180" t="e">
        <f>[1]cyklotron!M8</f>
        <v>#REF!</v>
      </c>
      <c r="AL26" s="180" t="e">
        <f>[1]cyklotron!N8</f>
        <v>#REF!</v>
      </c>
      <c r="AM26" s="62"/>
      <c r="AN26" s="64"/>
      <c r="AO26" s="64">
        <v>0</v>
      </c>
      <c r="AP26" s="64">
        <v>0</v>
      </c>
      <c r="AQ26" s="64">
        <v>0</v>
      </c>
      <c r="AR26" s="190">
        <v>0</v>
      </c>
      <c r="AS26" s="190">
        <v>0</v>
      </c>
      <c r="AT26" s="190">
        <v>0</v>
      </c>
      <c r="AU26" s="190" t="e">
        <f>-[1]cyklotron!L22</f>
        <v>#REF!</v>
      </c>
      <c r="AV26" s="190" t="e">
        <f>-[1]cyklotron!M22</f>
        <v>#REF!</v>
      </c>
      <c r="AW26" s="190" t="e">
        <f>-[1]cyklotron!N22</f>
        <v>#REF!</v>
      </c>
      <c r="AX26" s="65"/>
      <c r="AY26" s="65"/>
      <c r="AZ26" s="65"/>
      <c r="BA26" s="65"/>
      <c r="BB26" s="65"/>
      <c r="BC26" s="65"/>
      <c r="BD26" s="65"/>
      <c r="BE26" s="65"/>
      <c r="BF26" s="65"/>
      <c r="BG26" s="65"/>
      <c r="BH26" s="65"/>
      <c r="BI26" s="158"/>
      <c r="BJ26" s="158"/>
    </row>
    <row r="27" spans="1:62" s="126" customFormat="1" ht="34.5" customHeight="1" outlineLevel="1" x14ac:dyDescent="0.2">
      <c r="A27" s="357">
        <v>15</v>
      </c>
      <c r="B27" s="147" t="s">
        <v>167</v>
      </c>
      <c r="C27" s="147" t="s">
        <v>251</v>
      </c>
      <c r="D27" s="147" t="s">
        <v>252</v>
      </c>
      <c r="E27" s="147" t="s">
        <v>253</v>
      </c>
      <c r="F27" s="147">
        <v>5</v>
      </c>
      <c r="G27" s="179" t="s">
        <v>254</v>
      </c>
      <c r="H27" s="168" t="s">
        <v>199</v>
      </c>
      <c r="I27" s="168" t="s">
        <v>245</v>
      </c>
      <c r="J27" s="147">
        <f>7437+3000</f>
        <v>10437</v>
      </c>
      <c r="K27" s="108">
        <f>7436+6000-436</f>
        <v>13000</v>
      </c>
      <c r="L27" s="108">
        <v>0</v>
      </c>
      <c r="M27" s="108">
        <v>0</v>
      </c>
      <c r="N27" s="108"/>
      <c r="O27" s="172">
        <f t="shared" si="8"/>
        <v>0</v>
      </c>
      <c r="P27" s="108"/>
      <c r="Q27" s="108"/>
      <c r="R27" s="108"/>
      <c r="S27" s="108">
        <f>70000+3000</f>
        <v>73000</v>
      </c>
      <c r="T27" s="108">
        <f>70000+4000</f>
        <v>74000</v>
      </c>
      <c r="U27" s="108"/>
      <c r="V27" s="108"/>
      <c r="W27" s="146">
        <f t="shared" si="6"/>
        <v>147000</v>
      </c>
      <c r="X27" s="189">
        <f t="shared" si="7"/>
        <v>160000</v>
      </c>
      <c r="Y27" s="147"/>
      <c r="Z27" s="175" t="s">
        <v>255</v>
      </c>
      <c r="AA27" s="175" t="s">
        <v>255</v>
      </c>
      <c r="AB27" s="62"/>
      <c r="AC27" s="63"/>
      <c r="AD27" s="63">
        <v>0</v>
      </c>
      <c r="AE27" s="63">
        <v>0</v>
      </c>
      <c r="AF27" s="63">
        <v>0</v>
      </c>
      <c r="AG27" s="185">
        <v>0</v>
      </c>
      <c r="AH27" s="185">
        <v>0</v>
      </c>
      <c r="AI27" s="185">
        <v>0</v>
      </c>
      <c r="AJ27" s="185" t="e">
        <f>'[1]nytt produktionskök'!L8</f>
        <v>#REF!</v>
      </c>
      <c r="AK27" s="185" t="e">
        <f>'[1]nytt produktionskök'!M8</f>
        <v>#REF!</v>
      </c>
      <c r="AL27" s="185" t="e">
        <f>'[1]nytt produktionskök'!N8</f>
        <v>#REF!</v>
      </c>
      <c r="AM27" s="62"/>
      <c r="AN27" s="64"/>
      <c r="AO27" s="64">
        <v>0</v>
      </c>
      <c r="AP27" s="64">
        <v>0</v>
      </c>
      <c r="AQ27" s="64">
        <v>0</v>
      </c>
      <c r="AR27" s="185">
        <v>0</v>
      </c>
      <c r="AS27" s="185">
        <v>0</v>
      </c>
      <c r="AT27" s="185">
        <v>0</v>
      </c>
      <c r="AU27" s="185" t="e">
        <f>-'[1]nytt produktionskök'!L22</f>
        <v>#REF!</v>
      </c>
      <c r="AV27" s="185" t="e">
        <f>-'[1]nytt produktionskök'!M22</f>
        <v>#REF!</v>
      </c>
      <c r="AW27" s="185" t="e">
        <f>-'[1]nytt produktionskök'!N22</f>
        <v>#REF!</v>
      </c>
      <c r="AX27" s="65"/>
      <c r="AY27" s="65"/>
      <c r="AZ27" s="65"/>
      <c r="BA27" s="65"/>
      <c r="BB27" s="65"/>
      <c r="BC27" s="65"/>
      <c r="BD27" s="65"/>
      <c r="BE27" s="65"/>
      <c r="BF27" s="65"/>
      <c r="BG27" s="65"/>
      <c r="BH27" s="65"/>
      <c r="BI27" s="158"/>
      <c r="BJ27" s="158"/>
    </row>
    <row r="28" spans="1:62" s="126" customFormat="1" ht="30.75" customHeight="1" outlineLevel="1" x14ac:dyDescent="0.2">
      <c r="A28" s="357">
        <v>16</v>
      </c>
      <c r="B28" s="191" t="s">
        <v>167</v>
      </c>
      <c r="C28" s="168" t="s">
        <v>256</v>
      </c>
      <c r="D28" s="177">
        <v>8041301</v>
      </c>
      <c r="E28" s="168" t="s">
        <v>257</v>
      </c>
      <c r="F28" s="168">
        <v>1</v>
      </c>
      <c r="G28" s="169" t="s">
        <v>237</v>
      </c>
      <c r="H28" s="168" t="s">
        <v>199</v>
      </c>
      <c r="I28" s="108" t="s">
        <v>245</v>
      </c>
      <c r="J28" s="108">
        <v>1311</v>
      </c>
      <c r="K28" s="108">
        <f>710+387+3-100+4000</f>
        <v>5000</v>
      </c>
      <c r="L28" s="108">
        <v>0</v>
      </c>
      <c r="M28" s="108">
        <v>0</v>
      </c>
      <c r="N28" s="108">
        <v>0</v>
      </c>
      <c r="O28" s="172">
        <f t="shared" si="8"/>
        <v>0</v>
      </c>
      <c r="P28" s="108">
        <v>0</v>
      </c>
      <c r="Q28" s="108">
        <v>0</v>
      </c>
      <c r="R28" s="108"/>
      <c r="S28" s="108">
        <v>20000</v>
      </c>
      <c r="T28" s="108">
        <v>60000</v>
      </c>
      <c r="U28" s="108">
        <v>65000</v>
      </c>
      <c r="V28" s="108">
        <v>104000</v>
      </c>
      <c r="W28" s="146">
        <f t="shared" si="6"/>
        <v>249000</v>
      </c>
      <c r="X28" s="189">
        <f t="shared" si="7"/>
        <v>254000</v>
      </c>
      <c r="Y28" s="175"/>
      <c r="Z28" s="175" t="s">
        <v>202</v>
      </c>
      <c r="AA28" s="175" t="s">
        <v>231</v>
      </c>
      <c r="AB28" s="62"/>
      <c r="AC28" s="63"/>
      <c r="AD28" s="63"/>
      <c r="AE28" s="63"/>
      <c r="AF28" s="63"/>
      <c r="AG28" s="63"/>
      <c r="AH28" s="63">
        <v>0</v>
      </c>
      <c r="AI28" s="63">
        <v>0</v>
      </c>
      <c r="AJ28" s="63">
        <v>0</v>
      </c>
      <c r="AK28" s="63">
        <v>0</v>
      </c>
      <c r="AL28" s="63">
        <v>0</v>
      </c>
      <c r="AM28" s="62"/>
      <c r="AN28" s="64"/>
      <c r="AO28" s="64"/>
      <c r="AP28" s="64"/>
      <c r="AQ28" s="64"/>
      <c r="AR28" s="64"/>
      <c r="AS28" s="64">
        <v>0</v>
      </c>
      <c r="AT28" s="64">
        <v>0</v>
      </c>
      <c r="AU28" s="64">
        <v>0</v>
      </c>
      <c r="AV28" s="64">
        <v>0</v>
      </c>
      <c r="AW28" s="64">
        <v>0</v>
      </c>
      <c r="AX28" s="65"/>
      <c r="AY28" s="65"/>
      <c r="AZ28" s="65"/>
      <c r="BA28" s="65"/>
      <c r="BB28" s="65"/>
      <c r="BC28" s="65"/>
      <c r="BD28" s="65"/>
      <c r="BE28" s="65"/>
      <c r="BF28" s="65"/>
      <c r="BG28" s="65"/>
      <c r="BH28" s="65"/>
      <c r="BI28" s="158"/>
      <c r="BJ28" s="158"/>
    </row>
    <row r="29" spans="1:62" s="126" customFormat="1" ht="45.75" customHeight="1" outlineLevel="1" x14ac:dyDescent="0.2">
      <c r="A29" s="357">
        <v>17</v>
      </c>
      <c r="B29" s="147" t="s">
        <v>167</v>
      </c>
      <c r="C29" s="147" t="s">
        <v>258</v>
      </c>
      <c r="D29" s="147"/>
      <c r="E29" s="147" t="s">
        <v>259</v>
      </c>
      <c r="F29" s="147">
        <v>4</v>
      </c>
      <c r="G29" s="179" t="s">
        <v>237</v>
      </c>
      <c r="H29" s="168" t="s">
        <v>199</v>
      </c>
      <c r="I29" s="108" t="s">
        <v>245</v>
      </c>
      <c r="J29" s="108">
        <v>0</v>
      </c>
      <c r="K29" s="108">
        <v>5000</v>
      </c>
      <c r="L29" s="108">
        <v>0</v>
      </c>
      <c r="M29" s="108">
        <v>0</v>
      </c>
      <c r="N29" s="108">
        <v>0</v>
      </c>
      <c r="O29" s="172">
        <f t="shared" si="8"/>
        <v>0</v>
      </c>
      <c r="P29" s="108">
        <v>0</v>
      </c>
      <c r="Q29" s="108">
        <v>0</v>
      </c>
      <c r="R29" s="108">
        <v>0</v>
      </c>
      <c r="S29" s="108">
        <f>1495000/4</f>
        <v>373750</v>
      </c>
      <c r="T29" s="108">
        <f>1495000/4</f>
        <v>373750</v>
      </c>
      <c r="U29" s="108">
        <f>1495000/4</f>
        <v>373750</v>
      </c>
      <c r="V29" s="108">
        <f>1495000/4</f>
        <v>373750</v>
      </c>
      <c r="W29" s="146">
        <f t="shared" si="6"/>
        <v>1495000</v>
      </c>
      <c r="X29" s="174">
        <f t="shared" si="7"/>
        <v>1500000</v>
      </c>
      <c r="Y29" s="175" t="s">
        <v>260</v>
      </c>
      <c r="Z29" s="175" t="s">
        <v>202</v>
      </c>
      <c r="AA29" s="175" t="s">
        <v>255</v>
      </c>
      <c r="AB29" s="62"/>
      <c r="AC29" s="63"/>
      <c r="AD29" s="63"/>
      <c r="AE29" s="63"/>
      <c r="AF29" s="63"/>
      <c r="AG29" s="63"/>
      <c r="AH29" s="63"/>
      <c r="AI29" s="63">
        <v>0</v>
      </c>
      <c r="AJ29" s="180">
        <v>0</v>
      </c>
      <c r="AK29" s="180">
        <v>0</v>
      </c>
      <c r="AL29" s="180">
        <v>0</v>
      </c>
      <c r="AM29" s="63"/>
      <c r="AN29" s="64"/>
      <c r="AO29" s="64"/>
      <c r="AP29" s="64"/>
      <c r="AQ29" s="64"/>
      <c r="AR29" s="64"/>
      <c r="AS29" s="181"/>
      <c r="AT29" s="181">
        <v>0</v>
      </c>
      <c r="AU29" s="180">
        <v>0</v>
      </c>
      <c r="AV29" s="182">
        <v>0</v>
      </c>
      <c r="AW29" s="182">
        <v>0</v>
      </c>
      <c r="AX29" s="65"/>
      <c r="AY29" s="65"/>
      <c r="AZ29" s="65"/>
      <c r="BA29" s="65"/>
      <c r="BB29" s="65"/>
      <c r="BC29" s="65"/>
      <c r="BD29" s="65"/>
      <c r="BE29" s="65"/>
      <c r="BF29" s="65"/>
      <c r="BG29" s="65"/>
      <c r="BH29" s="65"/>
      <c r="BI29" s="158"/>
      <c r="BJ29" s="158"/>
    </row>
    <row r="30" spans="1:62" s="126" customFormat="1" ht="27.75" customHeight="1" outlineLevel="1" x14ac:dyDescent="0.2">
      <c r="A30" s="357">
        <v>18</v>
      </c>
      <c r="B30" s="147" t="s">
        <v>167</v>
      </c>
      <c r="C30" s="147" t="s">
        <v>261</v>
      </c>
      <c r="D30" s="347">
        <v>8041622</v>
      </c>
      <c r="E30" s="147" t="s">
        <v>262</v>
      </c>
      <c r="F30" s="147">
        <v>3</v>
      </c>
      <c r="G30" s="179" t="s">
        <v>263</v>
      </c>
      <c r="H30" s="168" t="s">
        <v>199</v>
      </c>
      <c r="I30" s="168" t="s">
        <v>264</v>
      </c>
      <c r="J30" s="147">
        <v>515</v>
      </c>
      <c r="K30" s="108">
        <v>2500</v>
      </c>
      <c r="L30" s="108">
        <v>0</v>
      </c>
      <c r="M30" s="108"/>
      <c r="N30" s="108"/>
      <c r="O30" s="172">
        <f t="shared" si="8"/>
        <v>0</v>
      </c>
      <c r="P30" s="108"/>
      <c r="Q30" s="108"/>
      <c r="R30" s="108"/>
      <c r="S30" s="108">
        <f>7500</f>
        <v>7500</v>
      </c>
      <c r="T30" s="108"/>
      <c r="U30" s="108"/>
      <c r="V30" s="108"/>
      <c r="W30" s="146">
        <f t="shared" si="6"/>
        <v>7500</v>
      </c>
      <c r="X30" s="174">
        <f t="shared" si="7"/>
        <v>10000</v>
      </c>
      <c r="Y30" s="175"/>
      <c r="Z30" s="175" t="s">
        <v>202</v>
      </c>
      <c r="AA30" s="175" t="s">
        <v>265</v>
      </c>
      <c r="AB30" s="62"/>
      <c r="AC30" s="63"/>
      <c r="AD30" s="63">
        <v>0</v>
      </c>
      <c r="AE30" s="63">
        <v>0</v>
      </c>
      <c r="AF30" s="63">
        <v>0</v>
      </c>
      <c r="AG30" s="63">
        <v>0</v>
      </c>
      <c r="AH30" s="63">
        <v>0</v>
      </c>
      <c r="AI30" s="185">
        <v>0</v>
      </c>
      <c r="AJ30" s="185" t="e">
        <f>[1]Tillnyktringsnhet!L8</f>
        <v>#REF!</v>
      </c>
      <c r="AK30" s="185" t="e">
        <f>[1]Tillnyktringsnhet!M8</f>
        <v>#REF!</v>
      </c>
      <c r="AL30" s="185" t="e">
        <f>[1]Tillnyktringsnhet!N8</f>
        <v>#REF!</v>
      </c>
      <c r="AM30" s="62"/>
      <c r="AN30" s="64"/>
      <c r="AO30" s="64">
        <v>0</v>
      </c>
      <c r="AP30" s="64">
        <v>0</v>
      </c>
      <c r="AQ30" s="64">
        <v>0</v>
      </c>
      <c r="AR30" s="64">
        <v>0</v>
      </c>
      <c r="AS30" s="64">
        <v>0</v>
      </c>
      <c r="AT30" s="185">
        <v>0</v>
      </c>
      <c r="AU30" s="185" t="e">
        <f>-[1]Tillnyktringsnhet!L22</f>
        <v>#REF!</v>
      </c>
      <c r="AV30" s="185" t="e">
        <f>-[1]Tillnyktringsnhet!M22</f>
        <v>#REF!</v>
      </c>
      <c r="AW30" s="185" t="e">
        <f>-[1]Tillnyktringsnhet!N22</f>
        <v>#REF!</v>
      </c>
      <c r="AX30" s="65"/>
      <c r="AY30" s="65"/>
      <c r="AZ30" s="65"/>
      <c r="BA30" s="65"/>
      <c r="BB30" s="65"/>
      <c r="BC30" s="65"/>
      <c r="BD30" s="65"/>
      <c r="BE30" s="65"/>
      <c r="BF30" s="65"/>
      <c r="BG30" s="65"/>
      <c r="BH30" s="65"/>
      <c r="BI30" s="158"/>
      <c r="BJ30" s="158"/>
    </row>
    <row r="31" spans="1:62" s="67" customFormat="1" ht="16" outlineLevel="1" x14ac:dyDescent="0.2">
      <c r="A31" s="357">
        <v>22</v>
      </c>
      <c r="B31" s="168" t="s">
        <v>167</v>
      </c>
      <c r="C31" s="168" t="s">
        <v>61</v>
      </c>
      <c r="D31" s="188">
        <v>8041121</v>
      </c>
      <c r="E31" s="168" t="s">
        <v>280</v>
      </c>
      <c r="F31" s="168">
        <v>5</v>
      </c>
      <c r="G31" s="169" t="s">
        <v>281</v>
      </c>
      <c r="H31" s="168" t="s">
        <v>199</v>
      </c>
      <c r="I31" s="168" t="s">
        <v>276</v>
      </c>
      <c r="J31" s="147">
        <v>7000</v>
      </c>
      <c r="K31" s="108">
        <f>2700+300</f>
        <v>3000</v>
      </c>
      <c r="L31" s="108"/>
      <c r="M31" s="108"/>
      <c r="N31" s="108"/>
      <c r="O31" s="172">
        <f t="shared" si="8"/>
        <v>0</v>
      </c>
      <c r="P31" s="108">
        <v>0</v>
      </c>
      <c r="Q31" s="108">
        <v>0</v>
      </c>
      <c r="R31" s="108"/>
      <c r="S31" s="108">
        <f>31000+4000</f>
        <v>35000</v>
      </c>
      <c r="T31" s="108">
        <v>37000</v>
      </c>
      <c r="U31" s="108"/>
      <c r="V31" s="108"/>
      <c r="W31" s="146">
        <f t="shared" si="6"/>
        <v>72000</v>
      </c>
      <c r="X31" s="174">
        <f t="shared" si="7"/>
        <v>75000</v>
      </c>
      <c r="Y31" s="175"/>
      <c r="Z31" s="175" t="s">
        <v>202</v>
      </c>
      <c r="AA31" s="175" t="s">
        <v>255</v>
      </c>
      <c r="AB31" s="62"/>
      <c r="AC31" s="63"/>
      <c r="AD31" s="63"/>
      <c r="AE31" s="63"/>
      <c r="AF31" s="63"/>
      <c r="AG31" s="63">
        <v>0</v>
      </c>
      <c r="AH31" s="63">
        <v>0</v>
      </c>
      <c r="AI31" s="63">
        <v>0</v>
      </c>
      <c r="AJ31" s="63" t="e">
        <f>'[1]ny huvudentré'!L8</f>
        <v>#REF!</v>
      </c>
      <c r="AK31" s="63" t="e">
        <f>'[1]ny huvudentré'!M8</f>
        <v>#REF!</v>
      </c>
      <c r="AL31" s="63" t="e">
        <f>'[1]ny huvudentré'!N8</f>
        <v>#REF!</v>
      </c>
      <c r="AM31" s="62"/>
      <c r="AN31" s="64"/>
      <c r="AO31" s="64"/>
      <c r="AP31" s="64"/>
      <c r="AQ31" s="64"/>
      <c r="AR31" s="64">
        <v>0</v>
      </c>
      <c r="AS31" s="64">
        <v>0</v>
      </c>
      <c r="AT31" s="64">
        <v>0</v>
      </c>
      <c r="AU31" s="64" t="e">
        <f>-'[1]ny huvudentré'!L22</f>
        <v>#REF!</v>
      </c>
      <c r="AV31" s="64" t="e">
        <f>-'[1]ny huvudentré'!M22</f>
        <v>#REF!</v>
      </c>
      <c r="AW31" s="64" t="e">
        <f>-'[1]ny huvudentré'!N22</f>
        <v>#REF!</v>
      </c>
      <c r="AX31" s="65"/>
      <c r="AY31" s="65"/>
      <c r="AZ31" s="65"/>
      <c r="BA31" s="65"/>
      <c r="BB31" s="65"/>
      <c r="BC31" s="65"/>
      <c r="BD31" s="65"/>
      <c r="BE31" s="65"/>
      <c r="BF31" s="65"/>
      <c r="BG31" s="65"/>
      <c r="BH31" s="65"/>
      <c r="BI31" s="3"/>
      <c r="BJ31" s="3"/>
    </row>
    <row r="32" spans="1:62" s="126" customFormat="1" ht="15.75" hidden="1" customHeight="1" outlineLevel="1" x14ac:dyDescent="0.2">
      <c r="A32" s="357"/>
      <c r="B32" s="168"/>
      <c r="C32" s="168"/>
      <c r="D32" s="177"/>
      <c r="E32" s="168"/>
      <c r="F32" s="168"/>
      <c r="G32" s="169"/>
      <c r="H32" s="168"/>
      <c r="I32" s="168"/>
      <c r="J32" s="147"/>
      <c r="K32" s="108"/>
      <c r="L32" s="108"/>
      <c r="M32" s="108"/>
      <c r="N32" s="108"/>
      <c r="O32" s="172"/>
      <c r="P32" s="108"/>
      <c r="Q32" s="108"/>
      <c r="R32" s="108"/>
      <c r="S32" s="108"/>
      <c r="T32" s="108"/>
      <c r="U32" s="108"/>
      <c r="V32" s="108"/>
      <c r="W32" s="146"/>
      <c r="X32" s="189"/>
      <c r="Y32" s="175"/>
      <c r="Z32" s="175"/>
      <c r="AA32" s="175"/>
      <c r="AB32" s="62"/>
      <c r="AC32" s="63"/>
      <c r="AD32" s="63"/>
      <c r="AE32" s="63"/>
      <c r="AF32" s="63"/>
      <c r="AG32" s="63"/>
      <c r="AH32" s="63"/>
      <c r="AI32" s="63"/>
      <c r="AJ32" s="63"/>
      <c r="AK32" s="63"/>
      <c r="AL32" s="63"/>
      <c r="AM32" s="62"/>
      <c r="AN32" s="64"/>
      <c r="AO32" s="64"/>
      <c r="AP32" s="64"/>
      <c r="AQ32" s="64"/>
      <c r="AR32" s="64"/>
      <c r="AS32" s="64"/>
      <c r="AT32" s="64"/>
      <c r="AU32" s="64"/>
      <c r="AV32" s="64"/>
      <c r="AW32" s="64"/>
      <c r="AX32" s="65"/>
      <c r="AY32" s="65"/>
      <c r="AZ32" s="65"/>
      <c r="BA32" s="65"/>
      <c r="BB32" s="65"/>
      <c r="BC32" s="65"/>
      <c r="BD32" s="65"/>
      <c r="BE32" s="65"/>
      <c r="BF32" s="65"/>
      <c r="BG32" s="65"/>
      <c r="BH32" s="65"/>
      <c r="BI32" s="158"/>
      <c r="BJ32" s="158"/>
    </row>
    <row r="33" spans="1:70" s="126" customFormat="1" ht="91.5" hidden="1" customHeight="1" outlineLevel="1" x14ac:dyDescent="0.2">
      <c r="A33" s="357"/>
      <c r="B33" s="147"/>
      <c r="C33" s="147"/>
      <c r="D33" s="147"/>
      <c r="E33" s="147"/>
      <c r="F33" s="147"/>
      <c r="G33" s="179"/>
      <c r="H33" s="168"/>
      <c r="I33" s="168"/>
      <c r="J33" s="147"/>
      <c r="K33" s="108"/>
      <c r="L33" s="108"/>
      <c r="M33" s="108"/>
      <c r="N33" s="108"/>
      <c r="O33" s="172"/>
      <c r="P33" s="108"/>
      <c r="Q33" s="108"/>
      <c r="R33" s="108"/>
      <c r="S33" s="108"/>
      <c r="T33" s="108"/>
      <c r="U33" s="108"/>
      <c r="V33" s="108"/>
      <c r="W33" s="146"/>
      <c r="X33" s="189"/>
      <c r="Y33" s="175"/>
      <c r="Z33" s="175"/>
      <c r="AA33" s="175"/>
      <c r="AB33" s="62"/>
      <c r="AC33" s="63"/>
      <c r="AD33" s="63"/>
      <c r="AE33" s="63"/>
      <c r="AF33" s="63"/>
      <c r="AG33" s="63"/>
      <c r="AH33" s="63"/>
      <c r="AI33" s="63"/>
      <c r="AJ33" s="63"/>
      <c r="AK33" s="63"/>
      <c r="AL33" s="63"/>
      <c r="AM33" s="62"/>
      <c r="AN33" s="64"/>
      <c r="AO33" s="64"/>
      <c r="AP33" s="64"/>
      <c r="AQ33" s="64"/>
      <c r="AR33" s="64"/>
      <c r="AS33" s="64"/>
      <c r="AT33" s="64"/>
      <c r="AU33" s="64"/>
      <c r="AV33" s="64"/>
      <c r="AW33" s="64"/>
      <c r="AX33" s="65"/>
      <c r="AY33" s="65"/>
      <c r="AZ33" s="65"/>
      <c r="BA33" s="65"/>
      <c r="BB33" s="65"/>
      <c r="BC33" s="65"/>
      <c r="BD33" s="65"/>
      <c r="BE33" s="65"/>
      <c r="BF33" s="65"/>
      <c r="BG33" s="65"/>
      <c r="BH33" s="65"/>
      <c r="BI33" s="158"/>
      <c r="BJ33" s="158"/>
    </row>
    <row r="34" spans="1:70" s="102" customFormat="1" ht="32" x14ac:dyDescent="0.2">
      <c r="A34" s="357"/>
      <c r="B34" s="159"/>
      <c r="C34" s="160" t="s">
        <v>303</v>
      </c>
      <c r="D34" s="161"/>
      <c r="E34" s="160"/>
      <c r="F34" s="160"/>
      <c r="G34" s="160"/>
      <c r="H34" s="160"/>
      <c r="I34" s="160"/>
      <c r="J34" s="164">
        <f>SUM(J20:J31)</f>
        <v>22113</v>
      </c>
      <c r="K34" s="164">
        <f t="shared" ref="K34:Y34" si="9">SUM(K20:K31)</f>
        <v>34142</v>
      </c>
      <c r="L34" s="164">
        <f t="shared" si="9"/>
        <v>0</v>
      </c>
      <c r="M34" s="164">
        <f t="shared" si="9"/>
        <v>0</v>
      </c>
      <c r="N34" s="164">
        <f t="shared" si="9"/>
        <v>0</v>
      </c>
      <c r="O34" s="164">
        <f t="shared" si="9"/>
        <v>0</v>
      </c>
      <c r="P34" s="164">
        <f t="shared" si="9"/>
        <v>0</v>
      </c>
      <c r="Q34" s="164">
        <f t="shared" si="9"/>
        <v>0</v>
      </c>
      <c r="R34" s="164">
        <f t="shared" si="9"/>
        <v>0</v>
      </c>
      <c r="S34" s="164">
        <f t="shared" si="9"/>
        <v>577208</v>
      </c>
      <c r="T34" s="164">
        <f t="shared" si="9"/>
        <v>714750</v>
      </c>
      <c r="U34" s="164">
        <f t="shared" si="9"/>
        <v>580750</v>
      </c>
      <c r="V34" s="164">
        <f t="shared" si="9"/>
        <v>632750</v>
      </c>
      <c r="W34" s="164">
        <f t="shared" si="9"/>
        <v>2505458</v>
      </c>
      <c r="X34" s="164">
        <f t="shared" si="9"/>
        <v>2539600</v>
      </c>
      <c r="Y34" s="164">
        <f t="shared" si="9"/>
        <v>0</v>
      </c>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4"/>
      <c r="BJ34" s="4"/>
      <c r="BR34" s="197"/>
    </row>
    <row r="35" spans="1:70" s="102" customFormat="1" ht="18" customHeight="1" x14ac:dyDescent="0.2">
      <c r="A35" s="357"/>
      <c r="B35" s="198"/>
      <c r="C35" s="199"/>
      <c r="D35" s="200"/>
      <c r="E35" s="168"/>
      <c r="F35" s="168"/>
      <c r="G35" s="168"/>
      <c r="H35" s="201"/>
      <c r="I35" s="201"/>
      <c r="J35" s="202"/>
      <c r="K35" s="98"/>
      <c r="L35" s="98"/>
      <c r="M35" s="98"/>
      <c r="N35" s="98"/>
      <c r="O35" s="146"/>
      <c r="P35" s="98"/>
      <c r="Q35" s="98"/>
      <c r="R35" s="98"/>
      <c r="S35" s="98"/>
      <c r="T35" s="98"/>
      <c r="U35" s="98"/>
      <c r="V35" s="98"/>
      <c r="W35" s="146"/>
      <c r="X35" s="146"/>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4"/>
      <c r="BJ35" s="4"/>
    </row>
    <row r="36" spans="1:70" s="102" customFormat="1" ht="31.5" customHeight="1" x14ac:dyDescent="0.2">
      <c r="A36" s="357"/>
      <c r="B36" s="203"/>
      <c r="C36" s="206" t="s">
        <v>304</v>
      </c>
      <c r="D36" s="205"/>
      <c r="E36" s="206"/>
      <c r="F36" s="206"/>
      <c r="G36" s="206"/>
      <c r="H36" s="206"/>
      <c r="I36" s="206"/>
      <c r="J36" s="207"/>
      <c r="K36" s="208"/>
      <c r="L36" s="208"/>
      <c r="M36" s="208"/>
      <c r="N36" s="208"/>
      <c r="O36" s="208"/>
      <c r="P36" s="208"/>
      <c r="Q36" s="208"/>
      <c r="R36" s="208"/>
      <c r="S36" s="208"/>
      <c r="T36" s="208"/>
      <c r="U36" s="208"/>
      <c r="V36" s="208"/>
      <c r="W36" s="208"/>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4"/>
      <c r="BJ36" s="4"/>
    </row>
    <row r="37" spans="1:70" s="126" customFormat="1" ht="60.75" customHeight="1" outlineLevel="1" x14ac:dyDescent="0.2">
      <c r="A37" s="357">
        <v>36</v>
      </c>
      <c r="B37" s="147" t="s">
        <v>305</v>
      </c>
      <c r="C37" s="147" t="s">
        <v>329</v>
      </c>
      <c r="D37" s="147" t="s">
        <v>312</v>
      </c>
      <c r="E37" s="147"/>
      <c r="F37" s="147">
        <v>2</v>
      </c>
      <c r="G37" s="179" t="s">
        <v>330</v>
      </c>
      <c r="H37" s="168" t="s">
        <v>199</v>
      </c>
      <c r="I37" s="168" t="s">
        <v>200</v>
      </c>
      <c r="J37" s="147">
        <v>0</v>
      </c>
      <c r="K37" s="108"/>
      <c r="L37" s="108"/>
      <c r="M37" s="108"/>
      <c r="N37" s="108"/>
      <c r="O37" s="172">
        <f>L37+M37+N37</f>
        <v>0</v>
      </c>
      <c r="P37" s="108">
        <v>0</v>
      </c>
      <c r="Q37" s="108">
        <v>0</v>
      </c>
      <c r="R37" s="108">
        <v>0</v>
      </c>
      <c r="S37" s="108">
        <v>1000</v>
      </c>
      <c r="T37" s="108">
        <v>7500</v>
      </c>
      <c r="U37" s="108">
        <v>7500</v>
      </c>
      <c r="V37" s="108"/>
      <c r="W37" s="146">
        <f>O37+P37+Q37+R37+S37+T37+U37+V37</f>
        <v>16000</v>
      </c>
      <c r="X37" s="189">
        <f>K37+L37+M37+N37+P37+Q37+R37+S37+T37+U37+V37</f>
        <v>16000</v>
      </c>
      <c r="Y37" s="147"/>
      <c r="Z37" s="175" t="s">
        <v>202</v>
      </c>
      <c r="AA37" s="175" t="s">
        <v>331</v>
      </c>
      <c r="AB37" s="62"/>
      <c r="AC37" s="63"/>
      <c r="AD37" s="63"/>
      <c r="AE37" s="63"/>
      <c r="AF37" s="63"/>
      <c r="AG37" s="180"/>
      <c r="AH37" s="180"/>
      <c r="AI37" s="180">
        <v>0</v>
      </c>
      <c r="AJ37" s="180">
        <v>0</v>
      </c>
      <c r="AK37" s="180">
        <v>0</v>
      </c>
      <c r="AL37" s="180" t="e">
        <f>'[1]Enköp ny, större huvudentré'!L8</f>
        <v>#REF!</v>
      </c>
      <c r="AM37" s="62"/>
      <c r="AN37" s="64"/>
      <c r="AO37" s="64"/>
      <c r="AP37" s="64"/>
      <c r="AQ37" s="64"/>
      <c r="AR37" s="190"/>
      <c r="AS37" s="190"/>
      <c r="AT37" s="190">
        <v>0</v>
      </c>
      <c r="AU37" s="190">
        <v>0</v>
      </c>
      <c r="AV37" s="190">
        <v>0</v>
      </c>
      <c r="AW37" s="190" t="e">
        <f>-'[1]Enköp ny, större huvudentré'!L22</f>
        <v>#REF!</v>
      </c>
      <c r="AX37" s="65"/>
      <c r="AY37" s="65"/>
      <c r="AZ37" s="65"/>
      <c r="BA37" s="65"/>
      <c r="BB37" s="65"/>
      <c r="BC37" s="65"/>
      <c r="BD37" s="65"/>
      <c r="BE37" s="65"/>
      <c r="BF37" s="65"/>
      <c r="BG37" s="65"/>
      <c r="BH37" s="65"/>
      <c r="BI37" s="158"/>
      <c r="BJ37" s="158"/>
    </row>
    <row r="38" spans="1:70" s="102" customFormat="1" ht="31.5" customHeight="1" x14ac:dyDescent="0.2">
      <c r="A38" s="357"/>
      <c r="B38" s="203"/>
      <c r="C38" s="206" t="s">
        <v>508</v>
      </c>
      <c r="D38" s="205"/>
      <c r="E38" s="206"/>
      <c r="F38" s="206"/>
      <c r="G38" s="206"/>
      <c r="H38" s="206"/>
      <c r="I38" s="206"/>
      <c r="J38" s="207">
        <f>SUM(J37)</f>
        <v>0</v>
      </c>
      <c r="K38" s="207">
        <f t="shared" ref="K38:X38" si="10">SUM(K37)</f>
        <v>0</v>
      </c>
      <c r="L38" s="207">
        <f t="shared" si="10"/>
        <v>0</v>
      </c>
      <c r="M38" s="207">
        <f t="shared" si="10"/>
        <v>0</v>
      </c>
      <c r="N38" s="207">
        <f t="shared" si="10"/>
        <v>0</v>
      </c>
      <c r="O38" s="207">
        <f t="shared" si="10"/>
        <v>0</v>
      </c>
      <c r="P38" s="207">
        <f t="shared" si="10"/>
        <v>0</v>
      </c>
      <c r="Q38" s="207">
        <f t="shared" si="10"/>
        <v>0</v>
      </c>
      <c r="R38" s="207">
        <f t="shared" si="10"/>
        <v>0</v>
      </c>
      <c r="S38" s="207">
        <f t="shared" si="10"/>
        <v>1000</v>
      </c>
      <c r="T38" s="207">
        <f t="shared" si="10"/>
        <v>7500</v>
      </c>
      <c r="U38" s="207">
        <f t="shared" si="10"/>
        <v>7500</v>
      </c>
      <c r="V38" s="207">
        <f t="shared" si="10"/>
        <v>0</v>
      </c>
      <c r="W38" s="207">
        <f t="shared" si="10"/>
        <v>16000</v>
      </c>
      <c r="X38" s="207">
        <f t="shared" si="10"/>
        <v>16000</v>
      </c>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4"/>
      <c r="BJ38" s="4"/>
    </row>
    <row r="39" spans="1:70" s="102" customFormat="1" ht="18" customHeight="1" x14ac:dyDescent="0.2">
      <c r="A39" s="357"/>
      <c r="B39" s="198"/>
      <c r="C39" s="199"/>
      <c r="D39" s="200"/>
      <c r="E39" s="168"/>
      <c r="F39" s="168"/>
      <c r="G39" s="168"/>
      <c r="H39" s="201"/>
      <c r="I39" s="201"/>
      <c r="J39" s="202"/>
      <c r="K39" s="98"/>
      <c r="L39" s="98"/>
      <c r="M39" s="98"/>
      <c r="N39" s="98"/>
      <c r="O39" s="146"/>
      <c r="P39" s="98"/>
      <c r="Q39" s="98"/>
      <c r="R39" s="98"/>
      <c r="S39" s="98"/>
      <c r="T39" s="98"/>
      <c r="U39" s="98"/>
      <c r="V39" s="98"/>
      <c r="W39" s="146"/>
      <c r="X39" s="146"/>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4"/>
      <c r="BJ39" s="4"/>
    </row>
    <row r="40" spans="1:70" s="102" customFormat="1" ht="16" x14ac:dyDescent="0.2">
      <c r="A40" s="357"/>
      <c r="B40" s="222"/>
      <c r="C40" s="223" t="s">
        <v>337</v>
      </c>
      <c r="D40" s="224"/>
      <c r="E40" s="118"/>
      <c r="F40" s="118"/>
      <c r="G40" s="118"/>
      <c r="H40" s="118"/>
      <c r="I40" s="118"/>
      <c r="J40" s="225"/>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4"/>
      <c r="BJ40" s="4"/>
    </row>
    <row r="41" spans="1:70" s="126" customFormat="1" ht="65.25" customHeight="1" outlineLevel="1" x14ac:dyDescent="0.2">
      <c r="A41" s="357">
        <v>39</v>
      </c>
      <c r="B41" s="191" t="s">
        <v>127</v>
      </c>
      <c r="C41" s="168" t="s">
        <v>515</v>
      </c>
      <c r="D41" s="177" t="s">
        <v>312</v>
      </c>
      <c r="E41" s="168" t="s">
        <v>342</v>
      </c>
      <c r="F41" s="168">
        <v>2</v>
      </c>
      <c r="G41" s="169"/>
      <c r="H41" s="168" t="s">
        <v>199</v>
      </c>
      <c r="I41" s="108" t="s">
        <v>200</v>
      </c>
      <c r="J41" s="108">
        <v>0</v>
      </c>
      <c r="K41" s="108"/>
      <c r="L41" s="108"/>
      <c r="M41" s="108"/>
      <c r="N41" s="108"/>
      <c r="O41" s="172">
        <f>L41+M41+N41</f>
        <v>0</v>
      </c>
      <c r="P41" s="108"/>
      <c r="Q41" s="108"/>
      <c r="R41" s="108"/>
      <c r="S41" s="108"/>
      <c r="T41" s="108"/>
      <c r="U41" s="108"/>
      <c r="V41" s="108"/>
      <c r="W41" s="146">
        <f>O41+P41+Q41+R41+S41+T41+U41+V41</f>
        <v>0</v>
      </c>
      <c r="X41" s="189">
        <f>K41+L41+M41+N41+P41+Q41+R41+S41+T41+U41+V41</f>
        <v>0</v>
      </c>
      <c r="Y41" s="175"/>
      <c r="Z41" s="175" t="s">
        <v>343</v>
      </c>
      <c r="AA41" s="175" t="s">
        <v>344</v>
      </c>
      <c r="AB41" s="62"/>
      <c r="AC41" s="63"/>
      <c r="AD41" s="63"/>
      <c r="AE41" s="63"/>
      <c r="AF41" s="63"/>
      <c r="AG41" s="63"/>
      <c r="AH41" s="63"/>
      <c r="AI41" s="63"/>
      <c r="AJ41" s="63"/>
      <c r="AK41" s="63"/>
      <c r="AL41" s="63"/>
      <c r="AM41" s="62"/>
      <c r="AN41" s="64"/>
      <c r="AO41" s="64"/>
      <c r="AP41" s="64"/>
      <c r="AQ41" s="64"/>
      <c r="AR41" s="64"/>
      <c r="AS41" s="64"/>
      <c r="AT41" s="64"/>
      <c r="AU41" s="64"/>
      <c r="AV41" s="64"/>
      <c r="AW41" s="64"/>
      <c r="AX41" s="65"/>
      <c r="AY41" s="65"/>
      <c r="AZ41" s="65"/>
      <c r="BA41" s="65"/>
      <c r="BB41" s="65"/>
      <c r="BC41" s="65"/>
      <c r="BD41" s="65"/>
      <c r="BE41" s="65"/>
      <c r="BF41" s="65"/>
      <c r="BG41" s="65"/>
      <c r="BH41" s="65"/>
      <c r="BI41" s="158"/>
      <c r="BJ41" s="158"/>
    </row>
    <row r="42" spans="1:70" s="126" customFormat="1" ht="50.25" customHeight="1" outlineLevel="1" x14ac:dyDescent="0.2">
      <c r="A42" s="357">
        <v>40</v>
      </c>
      <c r="B42" s="147" t="s">
        <v>345</v>
      </c>
      <c r="C42" s="147" t="s">
        <v>346</v>
      </c>
      <c r="D42" s="147" t="s">
        <v>312</v>
      </c>
      <c r="E42" s="147" t="s">
        <v>347</v>
      </c>
      <c r="F42" s="147">
        <v>3</v>
      </c>
      <c r="G42" s="179"/>
      <c r="H42" s="168" t="s">
        <v>199</v>
      </c>
      <c r="I42" s="108" t="s">
        <v>200</v>
      </c>
      <c r="J42" s="108">
        <v>0</v>
      </c>
      <c r="K42" s="108"/>
      <c r="L42" s="108"/>
      <c r="M42" s="108"/>
      <c r="N42" s="108"/>
      <c r="O42" s="172">
        <f>L42+M42+N42</f>
        <v>0</v>
      </c>
      <c r="P42" s="108"/>
      <c r="Q42" s="108"/>
      <c r="R42" s="108"/>
      <c r="S42" s="108"/>
      <c r="T42" s="108"/>
      <c r="U42" s="108"/>
      <c r="V42" s="108"/>
      <c r="W42" s="146">
        <f>O42+P42+Q42+R42+S42+T42+U42+V42</f>
        <v>0</v>
      </c>
      <c r="X42" s="174">
        <f>K42+L42+M42+N42+P42+Q42+R42+S42+T42+U42+V42</f>
        <v>0</v>
      </c>
      <c r="Y42" s="175"/>
      <c r="Z42" s="175" t="s">
        <v>343</v>
      </c>
      <c r="AA42" s="175" t="s">
        <v>344</v>
      </c>
      <c r="AB42" s="62"/>
      <c r="AC42" s="63"/>
      <c r="AD42" s="63"/>
      <c r="AE42" s="63"/>
      <c r="AF42" s="63"/>
      <c r="AG42" s="63"/>
      <c r="AH42" s="63"/>
      <c r="AI42" s="63"/>
      <c r="AJ42" s="180"/>
      <c r="AK42" s="180"/>
      <c r="AL42" s="180"/>
      <c r="AM42" s="63"/>
      <c r="AN42" s="64"/>
      <c r="AO42" s="64"/>
      <c r="AP42" s="64"/>
      <c r="AQ42" s="64"/>
      <c r="AR42" s="64"/>
      <c r="AS42" s="181"/>
      <c r="AT42" s="181"/>
      <c r="AU42" s="180"/>
      <c r="AV42" s="182"/>
      <c r="AW42" s="182"/>
      <c r="AX42" s="65"/>
      <c r="AY42" s="65"/>
      <c r="AZ42" s="65"/>
      <c r="BA42" s="65"/>
      <c r="BB42" s="65"/>
      <c r="BC42" s="65"/>
      <c r="BD42" s="65"/>
      <c r="BE42" s="65"/>
      <c r="BF42" s="65"/>
      <c r="BG42" s="65"/>
      <c r="BH42" s="65"/>
      <c r="BI42" s="158"/>
      <c r="BJ42" s="158"/>
    </row>
    <row r="43" spans="1:70" s="126" customFormat="1" ht="42" customHeight="1" outlineLevel="1" x14ac:dyDescent="0.2">
      <c r="A43" s="357">
        <v>41</v>
      </c>
      <c r="B43" s="147" t="s">
        <v>127</v>
      </c>
      <c r="C43" s="147" t="s">
        <v>348</v>
      </c>
      <c r="D43" s="347" t="s">
        <v>312</v>
      </c>
      <c r="E43" s="147" t="s">
        <v>349</v>
      </c>
      <c r="F43" s="147">
        <v>4</v>
      </c>
      <c r="G43" s="179"/>
      <c r="H43" s="168" t="s">
        <v>199</v>
      </c>
      <c r="I43" s="168" t="s">
        <v>200</v>
      </c>
      <c r="J43" s="147">
        <v>0</v>
      </c>
      <c r="K43" s="108"/>
      <c r="L43" s="108"/>
      <c r="M43" s="108"/>
      <c r="N43" s="108"/>
      <c r="O43" s="172">
        <f>L43+M43+N43</f>
        <v>0</v>
      </c>
      <c r="P43" s="108"/>
      <c r="Q43" s="108"/>
      <c r="R43" s="108"/>
      <c r="S43" s="108"/>
      <c r="T43" s="108"/>
      <c r="U43" s="108"/>
      <c r="V43" s="108"/>
      <c r="W43" s="146">
        <f>O43+P43+Q43+R43+S43+T43+U43+V43</f>
        <v>0</v>
      </c>
      <c r="X43" s="174">
        <f>K43+L43+M43+N43+P43+Q43+R43+S43+T43+U43+V43</f>
        <v>0</v>
      </c>
      <c r="Y43" s="175"/>
      <c r="Z43" s="175" t="s">
        <v>215</v>
      </c>
      <c r="AA43" s="175" t="s">
        <v>350</v>
      </c>
      <c r="AB43" s="62"/>
      <c r="AC43" s="63"/>
      <c r="AD43" s="63"/>
      <c r="AE43" s="63"/>
      <c r="AF43" s="63"/>
      <c r="AG43" s="63"/>
      <c r="AH43" s="63"/>
      <c r="AI43" s="185"/>
      <c r="AJ43" s="185"/>
      <c r="AK43" s="185"/>
      <c r="AL43" s="185"/>
      <c r="AM43" s="62"/>
      <c r="AN43" s="64"/>
      <c r="AO43" s="64"/>
      <c r="AP43" s="64"/>
      <c r="AQ43" s="64"/>
      <c r="AR43" s="64"/>
      <c r="AS43" s="64"/>
      <c r="AT43" s="185"/>
      <c r="AU43" s="185"/>
      <c r="AV43" s="185"/>
      <c r="AW43" s="185"/>
      <c r="AX43" s="65"/>
      <c r="AY43" s="65"/>
      <c r="AZ43" s="65"/>
      <c r="BA43" s="65"/>
      <c r="BB43" s="65"/>
      <c r="BC43" s="65"/>
      <c r="BD43" s="65"/>
      <c r="BE43" s="65"/>
      <c r="BF43" s="65"/>
      <c r="BG43" s="65"/>
      <c r="BH43" s="65"/>
      <c r="BI43" s="158"/>
      <c r="BJ43" s="158"/>
    </row>
    <row r="44" spans="1:70" s="67" customFormat="1" ht="41.25" customHeight="1" outlineLevel="1" x14ac:dyDescent="0.2">
      <c r="A44" s="357">
        <v>42</v>
      </c>
      <c r="B44" s="168" t="s">
        <v>127</v>
      </c>
      <c r="C44" s="168" t="s">
        <v>351</v>
      </c>
      <c r="D44" s="188" t="s">
        <v>312</v>
      </c>
      <c r="E44" s="168" t="s">
        <v>352</v>
      </c>
      <c r="F44" s="168">
        <v>5</v>
      </c>
      <c r="G44" s="169"/>
      <c r="H44" s="168" t="s">
        <v>199</v>
      </c>
      <c r="I44" s="168" t="s">
        <v>200</v>
      </c>
      <c r="J44" s="147">
        <v>0</v>
      </c>
      <c r="K44" s="108"/>
      <c r="L44" s="108"/>
      <c r="M44" s="108"/>
      <c r="N44" s="108"/>
      <c r="O44" s="172">
        <f>L44+M44+N44</f>
        <v>0</v>
      </c>
      <c r="P44" s="108"/>
      <c r="Q44" s="108"/>
      <c r="R44" s="108"/>
      <c r="S44" s="108">
        <v>25000</v>
      </c>
      <c r="T44" s="108">
        <v>75000</v>
      </c>
      <c r="U44" s="108">
        <v>180000</v>
      </c>
      <c r="V44" s="108"/>
      <c r="W44" s="146">
        <f>O44+P44+Q44+R44+S44+T44+U44+V44</f>
        <v>280000</v>
      </c>
      <c r="X44" s="174">
        <f>K44+L44+M44+N44+P44+Q44+R44+S44+T44+U44+V44</f>
        <v>280000</v>
      </c>
      <c r="Y44" s="175"/>
      <c r="Z44" s="175" t="s">
        <v>215</v>
      </c>
      <c r="AA44" s="175" t="s">
        <v>350</v>
      </c>
      <c r="AB44" s="62"/>
      <c r="AC44" s="63"/>
      <c r="AD44" s="63"/>
      <c r="AE44" s="63"/>
      <c r="AF44" s="63"/>
      <c r="AG44" s="63"/>
      <c r="AH44" s="63"/>
      <c r="AI44" s="63"/>
      <c r="AJ44" s="63"/>
      <c r="AK44" s="63"/>
      <c r="AL44" s="63" t="e">
        <f>'[1]KTF bussdepå Enköping'!L8</f>
        <v>#REF!</v>
      </c>
      <c r="AM44" s="62"/>
      <c r="AN44" s="64"/>
      <c r="AO44" s="64"/>
      <c r="AP44" s="64"/>
      <c r="AQ44" s="64"/>
      <c r="AR44" s="64"/>
      <c r="AS44" s="64"/>
      <c r="AT44" s="64"/>
      <c r="AU44" s="64"/>
      <c r="AV44" s="64"/>
      <c r="AW44" s="64" t="e">
        <f>-'[1]KTF bussdepå Enköping'!L22</f>
        <v>#REF!</v>
      </c>
      <c r="AX44" s="65"/>
      <c r="AY44" s="65"/>
      <c r="AZ44" s="65"/>
      <c r="BA44" s="65"/>
      <c r="BB44" s="65"/>
      <c r="BC44" s="65"/>
      <c r="BD44" s="65"/>
      <c r="BE44" s="65"/>
      <c r="BF44" s="65"/>
      <c r="BG44" s="65"/>
      <c r="BH44" s="65"/>
      <c r="BI44" s="3"/>
      <c r="BJ44" s="3"/>
    </row>
    <row r="45" spans="1:70" s="126" customFormat="1" ht="48" hidden="1" outlineLevel="1" x14ac:dyDescent="0.2">
      <c r="A45" s="357">
        <v>43</v>
      </c>
      <c r="B45" s="168" t="s">
        <v>127</v>
      </c>
      <c r="C45" s="168" t="s">
        <v>353</v>
      </c>
      <c r="D45" s="177" t="s">
        <v>312</v>
      </c>
      <c r="E45" s="168" t="s">
        <v>354</v>
      </c>
      <c r="F45" s="168">
        <v>6</v>
      </c>
      <c r="G45" s="169"/>
      <c r="H45" s="168" t="s">
        <v>199</v>
      </c>
      <c r="I45" s="168" t="s">
        <v>200</v>
      </c>
      <c r="J45" s="147">
        <v>0</v>
      </c>
      <c r="K45" s="108"/>
      <c r="L45" s="108"/>
      <c r="M45" s="108"/>
      <c r="N45" s="108"/>
      <c r="O45" s="172">
        <f>L45+M45+N45</f>
        <v>0</v>
      </c>
      <c r="P45" s="108"/>
      <c r="Q45" s="108"/>
      <c r="R45" s="108"/>
      <c r="S45" s="108"/>
      <c r="T45" s="108"/>
      <c r="U45" s="108"/>
      <c r="V45" s="108"/>
      <c r="W45" s="146">
        <f>O45+P45+Q45+R45+S45+T45+U45+V45</f>
        <v>0</v>
      </c>
      <c r="X45" s="189">
        <f>K45+L45+M45+N45+P45+Q45+R45+S45+T45+U45+V45</f>
        <v>0</v>
      </c>
      <c r="Y45" s="175"/>
      <c r="Z45" s="175" t="s">
        <v>225</v>
      </c>
      <c r="AA45" s="175" t="s">
        <v>344</v>
      </c>
      <c r="AB45" s="62"/>
      <c r="AC45" s="63"/>
      <c r="AD45" s="63"/>
      <c r="AE45" s="63"/>
      <c r="AF45" s="63"/>
      <c r="AG45" s="63"/>
      <c r="AH45" s="63"/>
      <c r="AI45" s="63"/>
      <c r="AJ45" s="63"/>
      <c r="AK45" s="63"/>
      <c r="AL45" s="63"/>
      <c r="AM45" s="62"/>
      <c r="AN45" s="64"/>
      <c r="AO45" s="64"/>
      <c r="AP45" s="64"/>
      <c r="AQ45" s="64"/>
      <c r="AR45" s="64"/>
      <c r="AS45" s="64"/>
      <c r="AT45" s="64"/>
      <c r="AU45" s="64"/>
      <c r="AV45" s="64"/>
      <c r="AW45" s="64"/>
      <c r="AX45" s="65"/>
      <c r="AY45" s="65"/>
      <c r="AZ45" s="65"/>
      <c r="BA45" s="65"/>
      <c r="BB45" s="65"/>
      <c r="BC45" s="65"/>
      <c r="BD45" s="65"/>
      <c r="BE45" s="65"/>
      <c r="BF45" s="65"/>
      <c r="BG45" s="65"/>
      <c r="BH45" s="65"/>
      <c r="BI45" s="158"/>
      <c r="BJ45" s="158"/>
    </row>
    <row r="46" spans="1:70" s="126" customFormat="1" ht="91.5" hidden="1" customHeight="1" outlineLevel="1" x14ac:dyDescent="0.2">
      <c r="A46" s="357"/>
      <c r="B46" s="147"/>
      <c r="C46" s="147"/>
      <c r="D46" s="147"/>
      <c r="E46" s="147"/>
      <c r="F46" s="147"/>
      <c r="G46" s="179"/>
      <c r="H46" s="168"/>
      <c r="I46" s="168"/>
      <c r="J46" s="147"/>
      <c r="K46" s="108"/>
      <c r="L46" s="108"/>
      <c r="M46" s="108"/>
      <c r="N46" s="108"/>
      <c r="O46" s="172"/>
      <c r="P46" s="108"/>
      <c r="Q46" s="108"/>
      <c r="R46" s="108"/>
      <c r="S46" s="108"/>
      <c r="T46" s="108"/>
      <c r="U46" s="108"/>
      <c r="V46" s="108"/>
      <c r="W46" s="146"/>
      <c r="X46" s="189"/>
      <c r="Y46" s="175"/>
      <c r="Z46" s="175"/>
      <c r="AA46" s="175"/>
      <c r="AB46" s="62"/>
      <c r="AC46" s="63"/>
      <c r="AD46" s="63"/>
      <c r="AE46" s="63"/>
      <c r="AF46" s="63"/>
      <c r="AG46" s="63"/>
      <c r="AH46" s="63"/>
      <c r="AI46" s="63"/>
      <c r="AJ46" s="63"/>
      <c r="AK46" s="63"/>
      <c r="AL46" s="63"/>
      <c r="AM46" s="62"/>
      <c r="AN46" s="64"/>
      <c r="AO46" s="64"/>
      <c r="AP46" s="64"/>
      <c r="AQ46" s="64"/>
      <c r="AR46" s="64"/>
      <c r="AS46" s="64"/>
      <c r="AT46" s="64"/>
      <c r="AU46" s="64"/>
      <c r="AV46" s="64"/>
      <c r="AW46" s="64"/>
      <c r="AX46" s="65"/>
      <c r="AY46" s="65"/>
      <c r="AZ46" s="65"/>
      <c r="BA46" s="65"/>
      <c r="BB46" s="65"/>
      <c r="BC46" s="65"/>
      <c r="BD46" s="65"/>
      <c r="BE46" s="65"/>
      <c r="BF46" s="65"/>
      <c r="BG46" s="65"/>
      <c r="BH46" s="65"/>
      <c r="BI46" s="158"/>
      <c r="BJ46" s="158"/>
    </row>
    <row r="47" spans="1:70" s="102" customFormat="1" ht="16" x14ac:dyDescent="0.2">
      <c r="A47" s="357"/>
      <c r="B47" s="222"/>
      <c r="C47" s="118" t="s">
        <v>509</v>
      </c>
      <c r="D47" s="224"/>
      <c r="E47" s="118"/>
      <c r="F47" s="118"/>
      <c r="G47" s="118"/>
      <c r="H47" s="118"/>
      <c r="I47" s="118"/>
      <c r="J47" s="225">
        <f>SUM(J41:J46)</f>
        <v>0</v>
      </c>
      <c r="K47" s="225">
        <f t="shared" ref="K47:X47" si="11">SUM(K41:K46)</f>
        <v>0</v>
      </c>
      <c r="L47" s="225">
        <f t="shared" si="11"/>
        <v>0</v>
      </c>
      <c r="M47" s="225">
        <f t="shared" si="11"/>
        <v>0</v>
      </c>
      <c r="N47" s="225">
        <f t="shared" si="11"/>
        <v>0</v>
      </c>
      <c r="O47" s="225">
        <f t="shared" si="11"/>
        <v>0</v>
      </c>
      <c r="P47" s="225">
        <f t="shared" si="11"/>
        <v>0</v>
      </c>
      <c r="Q47" s="225">
        <f t="shared" si="11"/>
        <v>0</v>
      </c>
      <c r="R47" s="225">
        <f t="shared" si="11"/>
        <v>0</v>
      </c>
      <c r="S47" s="225">
        <f t="shared" si="11"/>
        <v>25000</v>
      </c>
      <c r="T47" s="225">
        <f t="shared" si="11"/>
        <v>75000</v>
      </c>
      <c r="U47" s="225">
        <f t="shared" si="11"/>
        <v>180000</v>
      </c>
      <c r="V47" s="225">
        <f t="shared" si="11"/>
        <v>0</v>
      </c>
      <c r="W47" s="225">
        <f t="shared" si="11"/>
        <v>280000</v>
      </c>
      <c r="X47" s="225">
        <f t="shared" si="11"/>
        <v>280000</v>
      </c>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4"/>
      <c r="BJ47" s="4"/>
    </row>
    <row r="48" spans="1:70" s="126" customFormat="1" ht="16" outlineLevel="1" x14ac:dyDescent="0.2">
      <c r="A48" s="357"/>
      <c r="B48" s="147"/>
      <c r="C48" s="147"/>
      <c r="D48" s="147"/>
      <c r="E48" s="147"/>
      <c r="F48" s="147"/>
      <c r="G48" s="179"/>
      <c r="H48" s="168"/>
      <c r="I48" s="168"/>
      <c r="J48" s="147"/>
      <c r="K48" s="108"/>
      <c r="L48" s="108"/>
      <c r="M48" s="108"/>
      <c r="N48" s="108"/>
      <c r="O48" s="172"/>
      <c r="P48" s="108"/>
      <c r="Q48" s="108"/>
      <c r="R48" s="108"/>
      <c r="S48" s="108"/>
      <c r="T48" s="108"/>
      <c r="U48" s="108"/>
      <c r="V48" s="108"/>
      <c r="W48" s="146"/>
      <c r="X48" s="189"/>
      <c r="Y48" s="175"/>
      <c r="Z48" s="175"/>
      <c r="AA48" s="175"/>
      <c r="AB48" s="62"/>
      <c r="AC48" s="63"/>
      <c r="AD48" s="63"/>
      <c r="AE48" s="63"/>
      <c r="AF48" s="63"/>
      <c r="AG48" s="63"/>
      <c r="AH48" s="63"/>
      <c r="AI48" s="63"/>
      <c r="AJ48" s="63"/>
      <c r="AK48" s="63"/>
      <c r="AL48" s="63"/>
      <c r="AM48" s="62"/>
      <c r="AN48" s="64"/>
      <c r="AO48" s="64"/>
      <c r="AP48" s="64"/>
      <c r="AQ48" s="64"/>
      <c r="AR48" s="64"/>
      <c r="AS48" s="64"/>
      <c r="AT48" s="64"/>
      <c r="AU48" s="64"/>
      <c r="AV48" s="64"/>
      <c r="AW48" s="64"/>
      <c r="AX48" s="65"/>
      <c r="AY48" s="65"/>
      <c r="AZ48" s="65"/>
      <c r="BA48" s="65"/>
      <c r="BB48" s="65"/>
      <c r="BC48" s="65"/>
      <c r="BD48" s="65"/>
      <c r="BE48" s="65"/>
      <c r="BF48" s="65"/>
      <c r="BG48" s="65"/>
      <c r="BH48" s="65"/>
      <c r="BI48" s="158"/>
      <c r="BJ48" s="158"/>
    </row>
    <row r="49" spans="1:62" s="102" customFormat="1" ht="16" x14ac:dyDescent="0.2">
      <c r="A49" s="357"/>
      <c r="B49" s="233"/>
      <c r="C49" s="234" t="s">
        <v>362</v>
      </c>
      <c r="D49" s="235"/>
      <c r="E49" s="236"/>
      <c r="F49" s="236"/>
      <c r="G49" s="236"/>
      <c r="H49" s="236"/>
      <c r="I49" s="236"/>
      <c r="J49" s="237"/>
      <c r="K49" s="238"/>
      <c r="L49" s="238"/>
      <c r="M49" s="238"/>
      <c r="N49" s="238"/>
      <c r="O49" s="238"/>
      <c r="P49" s="238"/>
      <c r="Q49" s="238"/>
      <c r="R49" s="238"/>
      <c r="S49" s="238"/>
      <c r="T49" s="238"/>
      <c r="U49" s="238"/>
      <c r="V49" s="238"/>
      <c r="W49" s="238"/>
      <c r="X49" s="238"/>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4"/>
      <c r="BJ49" s="4"/>
    </row>
    <row r="50" spans="1:62" s="126" customFormat="1" ht="29" outlineLevel="1" x14ac:dyDescent="0.2">
      <c r="A50" s="357">
        <v>45</v>
      </c>
      <c r="B50" s="147" t="s">
        <v>170</v>
      </c>
      <c r="C50" s="147" t="s">
        <v>369</v>
      </c>
      <c r="D50" s="147"/>
      <c r="E50" s="147" t="s">
        <v>370</v>
      </c>
      <c r="F50" s="147">
        <v>5</v>
      </c>
      <c r="G50" s="179" t="s">
        <v>371</v>
      </c>
      <c r="H50" s="168" t="s">
        <v>199</v>
      </c>
      <c r="I50" s="168" t="s">
        <v>200</v>
      </c>
      <c r="J50" s="147">
        <v>0</v>
      </c>
      <c r="K50" s="108"/>
      <c r="L50" s="108"/>
      <c r="M50" s="108"/>
      <c r="N50" s="108">
        <v>0</v>
      </c>
      <c r="O50" s="172">
        <f t="shared" ref="O50:O66" si="12">L50+M50+N50</f>
        <v>0</v>
      </c>
      <c r="P50" s="108"/>
      <c r="Q50" s="108"/>
      <c r="R50" s="108"/>
      <c r="S50" s="108">
        <v>2000</v>
      </c>
      <c r="T50" s="108"/>
      <c r="U50" s="108"/>
      <c r="V50" s="108"/>
      <c r="W50" s="146">
        <f t="shared" ref="W50:W66" si="13">O50+P50+Q50+R50+S50+T50+U50+V50</f>
        <v>2000</v>
      </c>
      <c r="X50" s="189">
        <f t="shared" ref="X50:X66" si="14">K50+L50+M50+N50+P50+Q50+R50+S50+T50+U50+V50</f>
        <v>2000</v>
      </c>
      <c r="Y50" s="147" t="s">
        <v>367</v>
      </c>
      <c r="Z50" s="175" t="s">
        <v>225</v>
      </c>
      <c r="AA50" s="175" t="s">
        <v>368</v>
      </c>
      <c r="AB50" s="62"/>
      <c r="AC50" s="63"/>
      <c r="AD50" s="63"/>
      <c r="AE50" s="63"/>
      <c r="AF50" s="63">
        <v>0</v>
      </c>
      <c r="AG50" s="180">
        <v>0</v>
      </c>
      <c r="AH50" s="180">
        <v>0</v>
      </c>
      <c r="AI50" s="180">
        <v>0</v>
      </c>
      <c r="AJ50" s="180" t="e">
        <f>'[1]PV inv 2 mnkr'!L8</f>
        <v>#REF!</v>
      </c>
      <c r="AK50" s="180" t="e">
        <f>'[1]PV inv 2 mnkr'!M8</f>
        <v>#REF!</v>
      </c>
      <c r="AL50" s="180" t="e">
        <f>'[1]PV inv 2 mnkr'!N8</f>
        <v>#REF!</v>
      </c>
      <c r="AM50" s="62"/>
      <c r="AN50" s="64"/>
      <c r="AO50" s="64"/>
      <c r="AP50" s="64"/>
      <c r="AQ50" s="64">
        <v>0</v>
      </c>
      <c r="AR50" s="190">
        <v>0</v>
      </c>
      <c r="AS50" s="190">
        <v>0</v>
      </c>
      <c r="AT50" s="190">
        <v>0</v>
      </c>
      <c r="AU50" s="190" t="e">
        <f>-'[1]PV inv 2 mnkr'!L22</f>
        <v>#REF!</v>
      </c>
      <c r="AV50" s="190" t="e">
        <f>-'[1]PV inv 2 mnkr'!M22</f>
        <v>#REF!</v>
      </c>
      <c r="AW50" s="190" t="e">
        <f>-'[1]PV inv 2 mnkr'!N22</f>
        <v>#REF!</v>
      </c>
      <c r="AX50" s="65"/>
      <c r="AY50" s="65"/>
      <c r="AZ50" s="65"/>
      <c r="BA50" s="65"/>
      <c r="BB50" s="65"/>
      <c r="BC50" s="65"/>
      <c r="BD50" s="65"/>
      <c r="BE50" s="65"/>
      <c r="BF50" s="65"/>
      <c r="BG50" s="65"/>
      <c r="BH50" s="65"/>
      <c r="BI50" s="158"/>
      <c r="BJ50" s="158"/>
    </row>
    <row r="51" spans="1:62" s="126" customFormat="1" ht="32" outlineLevel="1" x14ac:dyDescent="0.2">
      <c r="A51" s="357">
        <v>46</v>
      </c>
      <c r="B51" s="147" t="s">
        <v>170</v>
      </c>
      <c r="C51" s="147" t="s">
        <v>372</v>
      </c>
      <c r="D51" s="147"/>
      <c r="E51" s="147" t="s">
        <v>373</v>
      </c>
      <c r="F51" s="147">
        <v>6</v>
      </c>
      <c r="G51" s="179" t="s">
        <v>374</v>
      </c>
      <c r="H51" s="168" t="s">
        <v>199</v>
      </c>
      <c r="I51" s="168" t="s">
        <v>200</v>
      </c>
      <c r="J51" s="147">
        <v>0</v>
      </c>
      <c r="K51" s="108"/>
      <c r="L51" s="108"/>
      <c r="M51" s="108"/>
      <c r="N51" s="108">
        <v>0</v>
      </c>
      <c r="O51" s="172">
        <f t="shared" si="12"/>
        <v>0</v>
      </c>
      <c r="P51" s="108"/>
      <c r="Q51" s="108"/>
      <c r="R51" s="108"/>
      <c r="S51" s="108">
        <v>2000</v>
      </c>
      <c r="T51" s="108"/>
      <c r="U51" s="108"/>
      <c r="V51" s="108"/>
      <c r="W51" s="146">
        <f t="shared" si="13"/>
        <v>2000</v>
      </c>
      <c r="X51" s="189">
        <f t="shared" si="14"/>
        <v>2000</v>
      </c>
      <c r="Y51" s="147" t="s">
        <v>367</v>
      </c>
      <c r="Z51" s="175" t="s">
        <v>225</v>
      </c>
      <c r="AA51" s="175" t="s">
        <v>368</v>
      </c>
      <c r="AB51" s="62"/>
      <c r="AC51" s="63"/>
      <c r="AD51" s="63"/>
      <c r="AE51" s="63"/>
      <c r="AF51" s="63">
        <v>0</v>
      </c>
      <c r="AG51" s="185">
        <v>0</v>
      </c>
      <c r="AH51" s="185">
        <v>0</v>
      </c>
      <c r="AI51" s="185">
        <v>0</v>
      </c>
      <c r="AJ51" s="185" t="e">
        <f>'[1]PV inv 2 mnkr'!L8</f>
        <v>#REF!</v>
      </c>
      <c r="AK51" s="185" t="e">
        <f>'[1]PV inv 2 mnkr'!M8</f>
        <v>#REF!</v>
      </c>
      <c r="AL51" s="185" t="e">
        <f>'[1]PV inv 2 mnkr'!N8</f>
        <v>#REF!</v>
      </c>
      <c r="AM51" s="62"/>
      <c r="AN51" s="64"/>
      <c r="AO51" s="64"/>
      <c r="AP51" s="64"/>
      <c r="AQ51" s="64">
        <v>0</v>
      </c>
      <c r="AR51" s="185">
        <v>0</v>
      </c>
      <c r="AS51" s="185">
        <v>0</v>
      </c>
      <c r="AT51" s="185">
        <v>0</v>
      </c>
      <c r="AU51" s="185" t="e">
        <f>-'[1]PV inv 2 mnkr'!L22</f>
        <v>#REF!</v>
      </c>
      <c r="AV51" s="185" t="e">
        <f>-'[1]PV inv 2 mnkr'!M22</f>
        <v>#REF!</v>
      </c>
      <c r="AW51" s="185" t="e">
        <f>-'[1]PV inv 2 mnkr'!N22</f>
        <v>#REF!</v>
      </c>
      <c r="AX51" s="65"/>
      <c r="AY51" s="65"/>
      <c r="AZ51" s="65"/>
      <c r="BA51" s="65"/>
      <c r="BB51" s="65"/>
      <c r="BC51" s="65"/>
      <c r="BD51" s="65"/>
      <c r="BE51" s="65"/>
      <c r="BF51" s="65"/>
      <c r="BG51" s="65"/>
      <c r="BH51" s="65"/>
      <c r="BI51" s="158"/>
      <c r="BJ51" s="158"/>
    </row>
    <row r="52" spans="1:62" s="126" customFormat="1" ht="43" outlineLevel="1" x14ac:dyDescent="0.2">
      <c r="A52" s="357">
        <v>48</v>
      </c>
      <c r="B52" s="191" t="s">
        <v>170</v>
      </c>
      <c r="C52" s="168" t="s">
        <v>380</v>
      </c>
      <c r="D52" s="177"/>
      <c r="E52" s="168" t="s">
        <v>381</v>
      </c>
      <c r="F52" s="168">
        <v>8</v>
      </c>
      <c r="G52" s="169" t="s">
        <v>382</v>
      </c>
      <c r="H52" s="168" t="s">
        <v>199</v>
      </c>
      <c r="I52" s="108" t="s">
        <v>200</v>
      </c>
      <c r="J52" s="108">
        <v>0</v>
      </c>
      <c r="K52" s="108"/>
      <c r="L52" s="108"/>
      <c r="M52" s="108"/>
      <c r="N52" s="108">
        <v>0</v>
      </c>
      <c r="O52" s="172">
        <f t="shared" si="12"/>
        <v>0</v>
      </c>
      <c r="P52" s="108"/>
      <c r="Q52" s="108"/>
      <c r="R52" s="108"/>
      <c r="S52" s="108">
        <v>2000</v>
      </c>
      <c r="T52" s="108"/>
      <c r="U52" s="108"/>
      <c r="V52" s="108"/>
      <c r="W52" s="146">
        <f t="shared" si="13"/>
        <v>2000</v>
      </c>
      <c r="X52" s="189">
        <f t="shared" si="14"/>
        <v>2000</v>
      </c>
      <c r="Y52" s="175" t="s">
        <v>367</v>
      </c>
      <c r="Z52" s="175" t="s">
        <v>225</v>
      </c>
      <c r="AA52" s="175" t="s">
        <v>368</v>
      </c>
      <c r="AB52" s="62"/>
      <c r="AC52" s="63"/>
      <c r="AD52" s="63"/>
      <c r="AE52" s="63"/>
      <c r="AF52" s="63">
        <v>0</v>
      </c>
      <c r="AG52" s="63">
        <v>0</v>
      </c>
      <c r="AH52" s="63">
        <v>0</v>
      </c>
      <c r="AI52" s="63">
        <v>0</v>
      </c>
      <c r="AJ52" s="63" t="e">
        <f>'[1]PV inv 2 mnkr'!L8</f>
        <v>#REF!</v>
      </c>
      <c r="AK52" s="63" t="e">
        <f>'[1]PV inv 2 mnkr'!M8</f>
        <v>#REF!</v>
      </c>
      <c r="AL52" s="63" t="e">
        <f>'[1]PV inv 2 mnkr'!N8</f>
        <v>#REF!</v>
      </c>
      <c r="AM52" s="62"/>
      <c r="AN52" s="64"/>
      <c r="AO52" s="64"/>
      <c r="AP52" s="64"/>
      <c r="AQ52" s="64">
        <v>0</v>
      </c>
      <c r="AR52" s="64">
        <v>0</v>
      </c>
      <c r="AS52" s="64">
        <v>0</v>
      </c>
      <c r="AT52" s="64">
        <v>0</v>
      </c>
      <c r="AU52" s="64" t="e">
        <f>-'[1]PV inv 2 mnkr'!L22</f>
        <v>#REF!</v>
      </c>
      <c r="AV52" s="64" t="e">
        <f>-'[1]PV inv 2 mnkr'!M22</f>
        <v>#REF!</v>
      </c>
      <c r="AW52" s="64" t="e">
        <f>-'[1]PV inv 2 mnkr'!N22</f>
        <v>#REF!</v>
      </c>
      <c r="AX52" s="65"/>
      <c r="AY52" s="65"/>
      <c r="AZ52" s="65"/>
      <c r="BA52" s="65"/>
      <c r="BB52" s="65"/>
      <c r="BC52" s="65"/>
      <c r="BD52" s="65"/>
      <c r="BE52" s="65"/>
      <c r="BF52" s="65"/>
      <c r="BG52" s="65"/>
      <c r="BH52" s="65"/>
      <c r="BI52" s="158"/>
      <c r="BJ52" s="158"/>
    </row>
    <row r="53" spans="1:62" s="126" customFormat="1" ht="29" outlineLevel="1" x14ac:dyDescent="0.2">
      <c r="A53" s="357">
        <v>49</v>
      </c>
      <c r="B53" s="147" t="s">
        <v>170</v>
      </c>
      <c r="C53" s="147" t="s">
        <v>383</v>
      </c>
      <c r="D53" s="147"/>
      <c r="E53" s="147" t="s">
        <v>384</v>
      </c>
      <c r="F53" s="147">
        <v>13</v>
      </c>
      <c r="G53" s="179" t="s">
        <v>374</v>
      </c>
      <c r="H53" s="168" t="s">
        <v>199</v>
      </c>
      <c r="I53" s="108" t="s">
        <v>200</v>
      </c>
      <c r="J53" s="108">
        <v>0</v>
      </c>
      <c r="K53" s="108"/>
      <c r="L53" s="108"/>
      <c r="M53" s="108"/>
      <c r="N53" s="108"/>
      <c r="O53" s="172">
        <f t="shared" si="12"/>
        <v>0</v>
      </c>
      <c r="P53" s="108"/>
      <c r="Q53" s="108">
        <v>0</v>
      </c>
      <c r="R53" s="108"/>
      <c r="S53" s="108">
        <v>2000</v>
      </c>
      <c r="T53" s="108"/>
      <c r="U53" s="108"/>
      <c r="V53" s="108"/>
      <c r="W53" s="146">
        <f t="shared" si="13"/>
        <v>2000</v>
      </c>
      <c r="X53" s="174">
        <f t="shared" si="14"/>
        <v>2000</v>
      </c>
      <c r="Y53" s="175" t="s">
        <v>367</v>
      </c>
      <c r="Z53" s="175" t="s">
        <v>225</v>
      </c>
      <c r="AA53" s="175" t="s">
        <v>368</v>
      </c>
      <c r="AB53" s="62"/>
      <c r="AC53" s="63"/>
      <c r="AD53" s="63"/>
      <c r="AE53" s="63"/>
      <c r="AF53" s="63"/>
      <c r="AG53" s="63"/>
      <c r="AH53" s="63"/>
      <c r="AI53" s="63"/>
      <c r="AJ53" s="180" t="e">
        <f>'[1]PV inv 2 mnkr'!L8</f>
        <v>#REF!</v>
      </c>
      <c r="AK53" s="180" t="e">
        <f>'[1]PV inv 2 mnkr'!M8</f>
        <v>#REF!</v>
      </c>
      <c r="AL53" s="180" t="e">
        <f>'[1]PV inv 2 mnkr'!N8</f>
        <v>#REF!</v>
      </c>
      <c r="AM53" s="63"/>
      <c r="AN53" s="64"/>
      <c r="AO53" s="64"/>
      <c r="AP53" s="64"/>
      <c r="AQ53" s="64"/>
      <c r="AR53" s="64"/>
      <c r="AS53" s="181">
        <v>0</v>
      </c>
      <c r="AT53" s="181">
        <v>0</v>
      </c>
      <c r="AU53" s="180" t="e">
        <f>-'[1]PV inv 2 mnkr'!L22</f>
        <v>#REF!</v>
      </c>
      <c r="AV53" s="182" t="e">
        <f>-'[1]PV inv 2 mnkr'!M22</f>
        <v>#REF!</v>
      </c>
      <c r="AW53" s="182" t="e">
        <f>-'[1]PV inv 2 mnkr'!N22</f>
        <v>#REF!</v>
      </c>
      <c r="AX53" s="65"/>
      <c r="AY53" s="65"/>
      <c r="AZ53" s="65"/>
      <c r="BA53" s="65"/>
      <c r="BB53" s="65"/>
      <c r="BC53" s="65"/>
      <c r="BD53" s="65"/>
      <c r="BE53" s="65"/>
      <c r="BF53" s="65"/>
      <c r="BG53" s="65"/>
      <c r="BH53" s="65"/>
      <c r="BI53" s="158"/>
      <c r="BJ53" s="158"/>
    </row>
    <row r="54" spans="1:62" s="126" customFormat="1" ht="29" outlineLevel="1" x14ac:dyDescent="0.2">
      <c r="A54" s="357">
        <v>50</v>
      </c>
      <c r="B54" s="147" t="s">
        <v>170</v>
      </c>
      <c r="C54" s="147" t="s">
        <v>385</v>
      </c>
      <c r="D54" s="347"/>
      <c r="E54" s="147" t="s">
        <v>386</v>
      </c>
      <c r="F54" s="147">
        <v>10</v>
      </c>
      <c r="G54" s="179" t="s">
        <v>387</v>
      </c>
      <c r="H54" s="168" t="s">
        <v>199</v>
      </c>
      <c r="I54" s="168" t="s">
        <v>200</v>
      </c>
      <c r="J54" s="147">
        <v>0</v>
      </c>
      <c r="K54" s="108"/>
      <c r="L54" s="108">
        <v>0</v>
      </c>
      <c r="M54" s="108"/>
      <c r="N54" s="108"/>
      <c r="O54" s="172">
        <f t="shared" si="12"/>
        <v>0</v>
      </c>
      <c r="P54" s="108"/>
      <c r="Q54" s="108"/>
      <c r="R54" s="108"/>
      <c r="S54" s="108">
        <v>2000</v>
      </c>
      <c r="T54" s="108"/>
      <c r="U54" s="108"/>
      <c r="V54" s="108"/>
      <c r="W54" s="146">
        <f t="shared" si="13"/>
        <v>2000</v>
      </c>
      <c r="X54" s="174">
        <f t="shared" si="14"/>
        <v>2000</v>
      </c>
      <c r="Y54" s="175" t="s">
        <v>367</v>
      </c>
      <c r="Z54" s="175" t="s">
        <v>225</v>
      </c>
      <c r="AA54" s="175" t="s">
        <v>368</v>
      </c>
      <c r="AB54" s="62"/>
      <c r="AC54" s="63"/>
      <c r="AD54" s="63">
        <v>0</v>
      </c>
      <c r="AE54" s="63">
        <v>0</v>
      </c>
      <c r="AF54" s="63">
        <v>0</v>
      </c>
      <c r="AG54" s="63">
        <v>0</v>
      </c>
      <c r="AH54" s="63">
        <v>0</v>
      </c>
      <c r="AI54" s="185">
        <v>0</v>
      </c>
      <c r="AJ54" s="185" t="e">
        <f>'[1]PV inv 2 mnkr'!L8</f>
        <v>#REF!</v>
      </c>
      <c r="AK54" s="185" t="e">
        <f>'[1]PV inv 2 mnkr'!M8</f>
        <v>#REF!</v>
      </c>
      <c r="AL54" s="185" t="e">
        <f>'[1]PV inv 2 mnkr'!N8</f>
        <v>#REF!</v>
      </c>
      <c r="AM54" s="62"/>
      <c r="AN54" s="64"/>
      <c r="AO54" s="64">
        <v>0</v>
      </c>
      <c r="AP54" s="64">
        <v>0</v>
      </c>
      <c r="AQ54" s="64">
        <v>0</v>
      </c>
      <c r="AR54" s="64">
        <v>0</v>
      </c>
      <c r="AS54" s="64">
        <v>0</v>
      </c>
      <c r="AT54" s="185">
        <v>0</v>
      </c>
      <c r="AU54" s="185" t="e">
        <f>-'[1]PV inv 2 mnkr'!L22</f>
        <v>#REF!</v>
      </c>
      <c r="AV54" s="185" t="e">
        <f>-'[1]PV inv 2 mnkr'!M22</f>
        <v>#REF!</v>
      </c>
      <c r="AW54" s="185" t="e">
        <f>-'[1]PV inv 2 mnkr'!N22</f>
        <v>#REF!</v>
      </c>
      <c r="AX54" s="65"/>
      <c r="AY54" s="65"/>
      <c r="AZ54" s="65"/>
      <c r="BA54" s="65"/>
      <c r="BB54" s="65"/>
      <c r="BC54" s="65"/>
      <c r="BD54" s="65"/>
      <c r="BE54" s="65"/>
      <c r="BF54" s="65"/>
      <c r="BG54" s="65"/>
      <c r="BH54" s="65"/>
      <c r="BI54" s="158"/>
      <c r="BJ54" s="158"/>
    </row>
    <row r="55" spans="1:62" s="67" customFormat="1" ht="32" outlineLevel="1" x14ac:dyDescent="0.2">
      <c r="A55" s="357">
        <v>51</v>
      </c>
      <c r="B55" s="168" t="s">
        <v>170</v>
      </c>
      <c r="C55" s="168" t="s">
        <v>388</v>
      </c>
      <c r="D55" s="188"/>
      <c r="E55" s="168" t="s">
        <v>389</v>
      </c>
      <c r="F55" s="168">
        <v>9</v>
      </c>
      <c r="G55" s="169" t="s">
        <v>374</v>
      </c>
      <c r="H55" s="168" t="s">
        <v>199</v>
      </c>
      <c r="I55" s="168" t="s">
        <v>200</v>
      </c>
      <c r="J55" s="147">
        <v>0</v>
      </c>
      <c r="K55" s="108"/>
      <c r="L55" s="108"/>
      <c r="M55" s="108"/>
      <c r="N55" s="108"/>
      <c r="O55" s="172">
        <f t="shared" si="12"/>
        <v>0</v>
      </c>
      <c r="P55" s="108">
        <v>0</v>
      </c>
      <c r="Q55" s="108"/>
      <c r="R55" s="108"/>
      <c r="S55" s="108">
        <v>2000</v>
      </c>
      <c r="T55" s="108"/>
      <c r="U55" s="108"/>
      <c r="V55" s="108"/>
      <c r="W55" s="146">
        <f t="shared" si="13"/>
        <v>2000</v>
      </c>
      <c r="X55" s="174">
        <f t="shared" si="14"/>
        <v>2000</v>
      </c>
      <c r="Y55" s="175" t="s">
        <v>367</v>
      </c>
      <c r="Z55" s="175" t="s">
        <v>225</v>
      </c>
      <c r="AA55" s="175" t="s">
        <v>368</v>
      </c>
      <c r="AB55" s="62"/>
      <c r="AC55" s="63"/>
      <c r="AD55" s="63"/>
      <c r="AE55" s="63"/>
      <c r="AF55" s="63">
        <v>0</v>
      </c>
      <c r="AG55" s="63">
        <v>0</v>
      </c>
      <c r="AH55" s="63">
        <v>0</v>
      </c>
      <c r="AI55" s="63">
        <v>0</v>
      </c>
      <c r="AJ55" s="63" t="e">
        <f>'[1]PV inv 2 mnkr'!L8</f>
        <v>#REF!</v>
      </c>
      <c r="AK55" s="63" t="e">
        <f>'[1]PV inv 2 mnkr'!M8</f>
        <v>#REF!</v>
      </c>
      <c r="AL55" s="63" t="e">
        <f>'[1]PV inv 2 mnkr'!N8</f>
        <v>#REF!</v>
      </c>
      <c r="AM55" s="62"/>
      <c r="AN55" s="64"/>
      <c r="AO55" s="64"/>
      <c r="AP55" s="64"/>
      <c r="AQ55" s="64">
        <v>0</v>
      </c>
      <c r="AR55" s="64">
        <v>0</v>
      </c>
      <c r="AS55" s="64">
        <v>0</v>
      </c>
      <c r="AT55" s="64">
        <v>0</v>
      </c>
      <c r="AU55" s="64" t="e">
        <f>-'[1]PV inv 2 mnkr'!L22</f>
        <v>#REF!</v>
      </c>
      <c r="AV55" s="64" t="e">
        <f>-'[1]PV inv 2 mnkr'!M22</f>
        <v>#REF!</v>
      </c>
      <c r="AW55" s="64" t="e">
        <f>-'[1]PV inv 2 mnkr'!N22</f>
        <v>#REF!</v>
      </c>
      <c r="AX55" s="65"/>
      <c r="AY55" s="65"/>
      <c r="AZ55" s="65"/>
      <c r="BA55" s="65"/>
      <c r="BB55" s="65"/>
      <c r="BC55" s="65"/>
      <c r="BD55" s="65"/>
      <c r="BE55" s="65"/>
      <c r="BF55" s="65"/>
      <c r="BG55" s="65"/>
      <c r="BH55" s="65"/>
      <c r="BI55" s="3"/>
      <c r="BJ55" s="3"/>
    </row>
    <row r="56" spans="1:62" s="126" customFormat="1" ht="32" hidden="1" outlineLevel="1" x14ac:dyDescent="0.2">
      <c r="A56" s="357">
        <v>52</v>
      </c>
      <c r="B56" s="168" t="s">
        <v>170</v>
      </c>
      <c r="C56" s="168" t="s">
        <v>390</v>
      </c>
      <c r="D56" s="177"/>
      <c r="E56" s="168" t="s">
        <v>391</v>
      </c>
      <c r="F56" s="168">
        <v>11</v>
      </c>
      <c r="G56" s="169" t="s">
        <v>392</v>
      </c>
      <c r="H56" s="168" t="s">
        <v>199</v>
      </c>
      <c r="I56" s="168" t="s">
        <v>200</v>
      </c>
      <c r="J56" s="147">
        <v>0</v>
      </c>
      <c r="K56" s="108"/>
      <c r="L56" s="108"/>
      <c r="M56" s="108"/>
      <c r="N56" s="108"/>
      <c r="O56" s="172">
        <f t="shared" si="12"/>
        <v>0</v>
      </c>
      <c r="P56" s="108"/>
      <c r="Q56" s="108"/>
      <c r="R56" s="108">
        <v>0</v>
      </c>
      <c r="S56" s="108">
        <v>2000</v>
      </c>
      <c r="T56" s="108"/>
      <c r="U56" s="108"/>
      <c r="V56" s="108"/>
      <c r="W56" s="146">
        <f t="shared" si="13"/>
        <v>2000</v>
      </c>
      <c r="X56" s="189">
        <f t="shared" si="14"/>
        <v>2000</v>
      </c>
      <c r="Y56" s="175" t="s">
        <v>367</v>
      </c>
      <c r="Z56" s="175" t="s">
        <v>225</v>
      </c>
      <c r="AA56" s="175" t="s">
        <v>368</v>
      </c>
      <c r="AB56" s="62"/>
      <c r="AC56" s="63"/>
      <c r="AD56" s="63"/>
      <c r="AE56" s="63"/>
      <c r="AF56" s="63"/>
      <c r="AG56" s="63"/>
      <c r="AH56" s="63"/>
      <c r="AI56" s="63">
        <v>0</v>
      </c>
      <c r="AJ56" s="63" t="e">
        <f>'[1]PV inv 2 mnkr'!L8</f>
        <v>#REF!</v>
      </c>
      <c r="AK56" s="63" t="e">
        <f>'[1]PV inv 2 mnkr'!M8</f>
        <v>#REF!</v>
      </c>
      <c r="AL56" s="63" t="e">
        <f>'[1]PV inv 2 mnkr'!N8</f>
        <v>#REF!</v>
      </c>
      <c r="AM56" s="62"/>
      <c r="AN56" s="64"/>
      <c r="AO56" s="64"/>
      <c r="AP56" s="64"/>
      <c r="AQ56" s="64"/>
      <c r="AR56" s="64"/>
      <c r="AS56" s="64"/>
      <c r="AT56" s="64">
        <v>0</v>
      </c>
      <c r="AU56" s="64" t="e">
        <f>-'[1]PV inv 2 mnkr'!L22</f>
        <v>#REF!</v>
      </c>
      <c r="AV56" s="64" t="e">
        <f>-'[1]PV inv 2 mnkr'!M22</f>
        <v>#REF!</v>
      </c>
      <c r="AW56" s="64" t="e">
        <f>-'[1]PV inv 2 mnkr'!N22</f>
        <v>#REF!</v>
      </c>
      <c r="AX56" s="65"/>
      <c r="AY56" s="65"/>
      <c r="AZ56" s="65"/>
      <c r="BA56" s="65"/>
      <c r="BB56" s="65"/>
      <c r="BC56" s="65"/>
      <c r="BD56" s="65"/>
      <c r="BE56" s="65"/>
      <c r="BF56" s="65"/>
      <c r="BG56" s="65"/>
      <c r="BH56" s="65"/>
      <c r="BI56" s="158"/>
      <c r="BJ56" s="158"/>
    </row>
    <row r="57" spans="1:62" s="126" customFormat="1" ht="91.5" hidden="1" customHeight="1" outlineLevel="1" x14ac:dyDescent="0.2">
      <c r="A57" s="357">
        <v>53</v>
      </c>
      <c r="B57" s="147" t="s">
        <v>170</v>
      </c>
      <c r="C57" s="147" t="s">
        <v>393</v>
      </c>
      <c r="D57" s="147"/>
      <c r="E57" s="147" t="s">
        <v>391</v>
      </c>
      <c r="F57" s="147">
        <v>12</v>
      </c>
      <c r="G57" s="179" t="s">
        <v>392</v>
      </c>
      <c r="H57" s="168" t="s">
        <v>199</v>
      </c>
      <c r="I57" s="168" t="s">
        <v>200</v>
      </c>
      <c r="J57" s="147">
        <v>0</v>
      </c>
      <c r="K57" s="108"/>
      <c r="L57" s="108"/>
      <c r="M57" s="108"/>
      <c r="N57" s="108">
        <v>0</v>
      </c>
      <c r="O57" s="172">
        <f t="shared" si="12"/>
        <v>0</v>
      </c>
      <c r="P57" s="108"/>
      <c r="Q57" s="108"/>
      <c r="R57" s="108"/>
      <c r="S57" s="108">
        <v>2000</v>
      </c>
      <c r="T57" s="108"/>
      <c r="U57" s="108"/>
      <c r="V57" s="108"/>
      <c r="W57" s="146">
        <f t="shared" si="13"/>
        <v>2000</v>
      </c>
      <c r="X57" s="189">
        <f t="shared" si="14"/>
        <v>2000</v>
      </c>
      <c r="Y57" s="175" t="s">
        <v>367</v>
      </c>
      <c r="Z57" s="175" t="s">
        <v>225</v>
      </c>
      <c r="AA57" s="175" t="s">
        <v>368</v>
      </c>
      <c r="AB57" s="62"/>
      <c r="AC57" s="63"/>
      <c r="AD57" s="63"/>
      <c r="AE57" s="63"/>
      <c r="AF57" s="63">
        <v>0</v>
      </c>
      <c r="AG57" s="63">
        <v>0</v>
      </c>
      <c r="AH57" s="63">
        <v>0</v>
      </c>
      <c r="AI57" s="63">
        <v>0</v>
      </c>
      <c r="AJ57" s="63" t="e">
        <f>'[1]PV inv 2 mnkr'!L8</f>
        <v>#REF!</v>
      </c>
      <c r="AK57" s="63" t="e">
        <f>'[1]PV inv 2 mnkr'!M8</f>
        <v>#REF!</v>
      </c>
      <c r="AL57" s="63" t="e">
        <f>'[1]PV inv 2 mnkr'!N8</f>
        <v>#REF!</v>
      </c>
      <c r="AM57" s="62"/>
      <c r="AN57" s="64"/>
      <c r="AO57" s="64"/>
      <c r="AP57" s="64"/>
      <c r="AQ57" s="64">
        <v>0</v>
      </c>
      <c r="AR57" s="64" t="e">
        <f>-'[1]PV inv 2 mnkr'!L22</f>
        <v>#REF!</v>
      </c>
      <c r="AS57" s="64" t="e">
        <f>-'[1]PV inv 2 mnkr'!M22</f>
        <v>#REF!</v>
      </c>
      <c r="AT57" s="64" t="e">
        <f>-'[1]PV inv 2 mnkr'!N22</f>
        <v>#REF!</v>
      </c>
      <c r="AU57" s="64" t="e">
        <f>-'[1]PV inv 2 mnkr'!O22</f>
        <v>#REF!</v>
      </c>
      <c r="AV57" s="64" t="e">
        <f>-'[1]PV inv 2 mnkr'!P22</f>
        <v>#REF!</v>
      </c>
      <c r="AW57" s="64" t="e">
        <f>-'[1]PV inv 2 mnkr'!Q22</f>
        <v>#REF!</v>
      </c>
      <c r="AX57" s="65"/>
      <c r="AY57" s="65"/>
      <c r="AZ57" s="65"/>
      <c r="BA57" s="65"/>
      <c r="BB57" s="65"/>
      <c r="BC57" s="65"/>
      <c r="BD57" s="65"/>
      <c r="BE57" s="65"/>
      <c r="BF57" s="65"/>
      <c r="BG57" s="65"/>
      <c r="BH57" s="65"/>
      <c r="BI57" s="158"/>
      <c r="BJ57" s="158"/>
    </row>
    <row r="58" spans="1:62" s="126" customFormat="1" ht="48" outlineLevel="1" x14ac:dyDescent="0.2">
      <c r="A58" s="357">
        <v>54</v>
      </c>
      <c r="B58" s="147" t="s">
        <v>170</v>
      </c>
      <c r="C58" s="147" t="s">
        <v>394</v>
      </c>
      <c r="D58" s="147"/>
      <c r="E58" s="147" t="s">
        <v>395</v>
      </c>
      <c r="F58" s="147">
        <v>4</v>
      </c>
      <c r="G58" s="179" t="s">
        <v>396</v>
      </c>
      <c r="H58" s="168" t="s">
        <v>199</v>
      </c>
      <c r="I58" s="168" t="s">
        <v>200</v>
      </c>
      <c r="J58" s="147">
        <v>0</v>
      </c>
      <c r="K58" s="108"/>
      <c r="L58" s="108">
        <v>0</v>
      </c>
      <c r="M58" s="108">
        <v>0</v>
      </c>
      <c r="N58" s="108"/>
      <c r="O58" s="172">
        <f t="shared" si="12"/>
        <v>0</v>
      </c>
      <c r="P58" s="108"/>
      <c r="Q58" s="108"/>
      <c r="R58" s="108"/>
      <c r="S58" s="108">
        <v>12500</v>
      </c>
      <c r="T58" s="108">
        <v>12500</v>
      </c>
      <c r="U58" s="108"/>
      <c r="V58" s="108"/>
      <c r="W58" s="146">
        <f t="shared" si="13"/>
        <v>25000</v>
      </c>
      <c r="X58" s="189">
        <f t="shared" si="14"/>
        <v>25000</v>
      </c>
      <c r="Y58" s="147" t="s">
        <v>397</v>
      </c>
      <c r="Z58" s="175" t="s">
        <v>225</v>
      </c>
      <c r="AA58" s="175" t="s">
        <v>368</v>
      </c>
      <c r="AB58" s="62"/>
      <c r="AC58" s="63"/>
      <c r="AD58" s="63"/>
      <c r="AE58" s="63">
        <v>0</v>
      </c>
      <c r="AF58" s="63">
        <v>0</v>
      </c>
      <c r="AG58" s="180">
        <v>0</v>
      </c>
      <c r="AH58" s="180">
        <v>0</v>
      </c>
      <c r="AI58" s="180">
        <v>0</v>
      </c>
      <c r="AJ58" s="180">
        <v>0</v>
      </c>
      <c r="AK58" s="180" t="e">
        <f>'[1]PV hus C Enköp renov '!L8</f>
        <v>#REF!</v>
      </c>
      <c r="AL58" s="180" t="e">
        <f>'[1]PV hus C Enköp renov '!M8</f>
        <v>#REF!</v>
      </c>
      <c r="AM58" s="62"/>
      <c r="AN58" s="64"/>
      <c r="AO58" s="64"/>
      <c r="AP58" s="64">
        <v>0</v>
      </c>
      <c r="AQ58" s="64">
        <v>0</v>
      </c>
      <c r="AR58" s="190">
        <v>0</v>
      </c>
      <c r="AS58" s="190">
        <v>0</v>
      </c>
      <c r="AT58" s="190">
        <v>0</v>
      </c>
      <c r="AU58" s="190">
        <v>0</v>
      </c>
      <c r="AV58" s="190" t="e">
        <f>-'[1]PV hus C Enköp renov '!L22</f>
        <v>#REF!</v>
      </c>
      <c r="AW58" s="190" t="e">
        <f>-'[1]PV hus C Enköp renov '!M22</f>
        <v>#REF!</v>
      </c>
      <c r="AX58" s="65"/>
      <c r="AY58" s="65"/>
      <c r="AZ58" s="65"/>
      <c r="BA58" s="65"/>
      <c r="BB58" s="65"/>
      <c r="BC58" s="65"/>
      <c r="BD58" s="65"/>
      <c r="BE58" s="65"/>
      <c r="BF58" s="65"/>
      <c r="BG58" s="65"/>
      <c r="BH58" s="65"/>
      <c r="BI58" s="158"/>
      <c r="BJ58" s="158"/>
    </row>
    <row r="59" spans="1:62" s="126" customFormat="1" ht="43" outlineLevel="1" x14ac:dyDescent="0.2">
      <c r="A59" s="357">
        <v>55</v>
      </c>
      <c r="B59" s="147" t="s">
        <v>398</v>
      </c>
      <c r="C59" s="147" t="s">
        <v>399</v>
      </c>
      <c r="D59" s="147"/>
      <c r="E59" s="147" t="s">
        <v>400</v>
      </c>
      <c r="F59" s="147" t="s">
        <v>401</v>
      </c>
      <c r="G59" s="179" t="s">
        <v>402</v>
      </c>
      <c r="H59" s="168" t="s">
        <v>199</v>
      </c>
      <c r="I59" s="168" t="s">
        <v>200</v>
      </c>
      <c r="J59" s="147">
        <v>0</v>
      </c>
      <c r="K59" s="108"/>
      <c r="L59" s="108"/>
      <c r="M59" s="108"/>
      <c r="N59" s="108"/>
      <c r="O59" s="172">
        <f t="shared" si="12"/>
        <v>0</v>
      </c>
      <c r="P59" s="108">
        <v>0</v>
      </c>
      <c r="Q59" s="108">
        <v>0</v>
      </c>
      <c r="R59" s="108"/>
      <c r="S59" s="108">
        <v>100000</v>
      </c>
      <c r="T59" s="108">
        <v>100000</v>
      </c>
      <c r="U59" s="108"/>
      <c r="V59" s="108"/>
      <c r="W59" s="146">
        <f t="shared" si="13"/>
        <v>200000</v>
      </c>
      <c r="X59" s="189">
        <f t="shared" si="14"/>
        <v>200000</v>
      </c>
      <c r="Y59" s="147"/>
      <c r="Z59" s="175" t="s">
        <v>225</v>
      </c>
      <c r="AA59" s="175" t="s">
        <v>403</v>
      </c>
      <c r="AB59" s="62"/>
      <c r="AC59" s="63"/>
      <c r="AD59" s="63"/>
      <c r="AE59" s="63"/>
      <c r="AF59" s="63"/>
      <c r="AG59" s="185"/>
      <c r="AH59" s="185">
        <v>0</v>
      </c>
      <c r="AI59" s="185">
        <v>0</v>
      </c>
      <c r="AJ59" s="185">
        <v>0</v>
      </c>
      <c r="AK59" s="185" t="e">
        <f>'[1]Tierp nybyggnation '!L8</f>
        <v>#REF!</v>
      </c>
      <c r="AL59" s="185" t="e">
        <f>'[1]Tierp nybyggnation '!M8</f>
        <v>#REF!</v>
      </c>
      <c r="AM59" s="62"/>
      <c r="AN59" s="64"/>
      <c r="AO59" s="64"/>
      <c r="AP59" s="64"/>
      <c r="AQ59" s="64"/>
      <c r="AR59" s="185"/>
      <c r="AS59" s="185">
        <v>0</v>
      </c>
      <c r="AT59" s="185">
        <v>0</v>
      </c>
      <c r="AU59" s="185">
        <v>0</v>
      </c>
      <c r="AV59" s="185" t="e">
        <f>-'[1]Tierp nybyggnation '!L22</f>
        <v>#REF!</v>
      </c>
      <c r="AW59" s="185" t="e">
        <f>-'[1]Tierp nybyggnation '!M22</f>
        <v>#REF!</v>
      </c>
      <c r="AX59" s="65"/>
      <c r="AY59" s="65"/>
      <c r="AZ59" s="65"/>
      <c r="BA59" s="65"/>
      <c r="BB59" s="65"/>
      <c r="BC59" s="65"/>
      <c r="BD59" s="65"/>
      <c r="BE59" s="65"/>
      <c r="BF59" s="65"/>
      <c r="BG59" s="65"/>
      <c r="BH59" s="65"/>
      <c r="BI59" s="158"/>
      <c r="BJ59" s="158"/>
    </row>
    <row r="60" spans="1:62" s="126" customFormat="1" ht="32" outlineLevel="1" x14ac:dyDescent="0.2">
      <c r="A60" s="357">
        <v>56</v>
      </c>
      <c r="B60" s="191" t="s">
        <v>404</v>
      </c>
      <c r="C60" s="168" t="s">
        <v>405</v>
      </c>
      <c r="D60" s="177"/>
      <c r="E60" s="168" t="s">
        <v>406</v>
      </c>
      <c r="F60" s="168">
        <v>4</v>
      </c>
      <c r="G60" s="169" t="s">
        <v>407</v>
      </c>
      <c r="H60" s="168" t="s">
        <v>199</v>
      </c>
      <c r="I60" s="108" t="s">
        <v>200</v>
      </c>
      <c r="J60" s="108">
        <v>0</v>
      </c>
      <c r="K60" s="108">
        <v>200</v>
      </c>
      <c r="L60" s="108">
        <v>0</v>
      </c>
      <c r="M60" s="108"/>
      <c r="N60" s="108"/>
      <c r="O60" s="172">
        <f t="shared" si="12"/>
        <v>0</v>
      </c>
      <c r="P60" s="108"/>
      <c r="Q60" s="108"/>
      <c r="R60" s="108"/>
      <c r="S60" s="108">
        <v>200</v>
      </c>
      <c r="T60" s="108"/>
      <c r="U60" s="108"/>
      <c r="V60" s="108"/>
      <c r="W60" s="146">
        <f t="shared" si="13"/>
        <v>200</v>
      </c>
      <c r="X60" s="189">
        <f t="shared" si="14"/>
        <v>400</v>
      </c>
      <c r="Y60" s="175"/>
      <c r="Z60" s="175" t="s">
        <v>225</v>
      </c>
      <c r="AA60" s="175" t="s">
        <v>408</v>
      </c>
      <c r="AB60" s="62"/>
      <c r="AC60" s="63"/>
      <c r="AD60" s="63">
        <v>0</v>
      </c>
      <c r="AE60" s="63">
        <v>0</v>
      </c>
      <c r="AF60" s="63">
        <v>0</v>
      </c>
      <c r="AG60" s="63">
        <v>0</v>
      </c>
      <c r="AH60" s="63">
        <v>0</v>
      </c>
      <c r="AI60" s="63">
        <v>0</v>
      </c>
      <c r="AJ60" s="63" t="e">
        <f>'[1]FTV Vretgränd'!L8</f>
        <v>#REF!</v>
      </c>
      <c r="AK60" s="63" t="e">
        <f>'[1]FTV Vretgränd'!M8</f>
        <v>#REF!</v>
      </c>
      <c r="AL60" s="63" t="e">
        <f>'[1]FTV Vretgränd'!N8</f>
        <v>#REF!</v>
      </c>
      <c r="AM60" s="62"/>
      <c r="AN60" s="64"/>
      <c r="AO60" s="64">
        <v>0</v>
      </c>
      <c r="AP60" s="64">
        <v>0</v>
      </c>
      <c r="AQ60" s="64">
        <v>0</v>
      </c>
      <c r="AR60" s="64">
        <v>0</v>
      </c>
      <c r="AS60" s="64">
        <v>0</v>
      </c>
      <c r="AT60" s="64">
        <v>0</v>
      </c>
      <c r="AU60" s="64" t="e">
        <f>-'[1]FTV Vretgränd'!L22</f>
        <v>#REF!</v>
      </c>
      <c r="AV60" s="64" t="e">
        <f>-'[1]FTV Vretgränd'!M22</f>
        <v>#REF!</v>
      </c>
      <c r="AW60" s="64" t="e">
        <f>-'[1]FTV Vretgränd'!N22</f>
        <v>#REF!</v>
      </c>
      <c r="AX60" s="65"/>
      <c r="AY60" s="65"/>
      <c r="AZ60" s="65"/>
      <c r="BA60" s="65"/>
      <c r="BB60" s="65"/>
      <c r="BC60" s="65"/>
      <c r="BD60" s="65"/>
      <c r="BE60" s="65"/>
      <c r="BF60" s="65"/>
      <c r="BG60" s="65"/>
      <c r="BH60" s="65"/>
      <c r="BI60" s="158"/>
      <c r="BJ60" s="158"/>
    </row>
    <row r="61" spans="1:62" s="126" customFormat="1" ht="64" outlineLevel="1" x14ac:dyDescent="0.2">
      <c r="A61" s="357">
        <v>57</v>
      </c>
      <c r="B61" s="147" t="s">
        <v>404</v>
      </c>
      <c r="C61" s="147" t="s">
        <v>409</v>
      </c>
      <c r="D61" s="147"/>
      <c r="E61" s="147" t="s">
        <v>410</v>
      </c>
      <c r="F61" s="147">
        <v>3</v>
      </c>
      <c r="G61" s="179"/>
      <c r="H61" s="168" t="s">
        <v>199</v>
      </c>
      <c r="I61" s="108" t="s">
        <v>200</v>
      </c>
      <c r="J61" s="108">
        <v>0</v>
      </c>
      <c r="K61" s="108"/>
      <c r="L61" s="108"/>
      <c r="M61" s="108">
        <v>0</v>
      </c>
      <c r="N61" s="108"/>
      <c r="O61" s="172">
        <f t="shared" si="12"/>
        <v>0</v>
      </c>
      <c r="P61" s="108"/>
      <c r="Q61" s="108"/>
      <c r="R61" s="108"/>
      <c r="S61" s="108">
        <v>5000</v>
      </c>
      <c r="T61" s="108"/>
      <c r="U61" s="108"/>
      <c r="V61" s="108"/>
      <c r="W61" s="146">
        <f t="shared" si="13"/>
        <v>5000</v>
      </c>
      <c r="X61" s="174">
        <f t="shared" si="14"/>
        <v>5000</v>
      </c>
      <c r="Y61" s="175"/>
      <c r="Z61" s="175" t="s">
        <v>225</v>
      </c>
      <c r="AA61" s="175" t="s">
        <v>408</v>
      </c>
      <c r="AB61" s="62"/>
      <c r="AC61" s="63"/>
      <c r="AD61" s="63"/>
      <c r="AE61" s="63">
        <v>0</v>
      </c>
      <c r="AF61" s="63">
        <v>0</v>
      </c>
      <c r="AG61" s="63">
        <v>0</v>
      </c>
      <c r="AH61" s="63">
        <v>0</v>
      </c>
      <c r="AI61" s="63">
        <v>0</v>
      </c>
      <c r="AJ61" s="180" t="e">
        <f>'[1]Wik Black box'!L8</f>
        <v>#REF!</v>
      </c>
      <c r="AK61" s="180" t="e">
        <f>'[1]Wik Black box'!M8</f>
        <v>#REF!</v>
      </c>
      <c r="AL61" s="180" t="e">
        <f>'[1]Wik Black box'!N8</f>
        <v>#REF!</v>
      </c>
      <c r="AM61" s="63"/>
      <c r="AN61" s="64"/>
      <c r="AO61" s="64"/>
      <c r="AP61" s="64">
        <v>0</v>
      </c>
      <c r="AQ61" s="64">
        <v>0</v>
      </c>
      <c r="AR61" s="64">
        <v>0</v>
      </c>
      <c r="AS61" s="181">
        <v>0</v>
      </c>
      <c r="AT61" s="181">
        <v>0</v>
      </c>
      <c r="AU61" s="180" t="e">
        <f>-'[1]Wik Black box'!L22</f>
        <v>#REF!</v>
      </c>
      <c r="AV61" s="182" t="e">
        <f>-'[1]Wik Black box'!M22</f>
        <v>#REF!</v>
      </c>
      <c r="AW61" s="182" t="e">
        <f>-'[1]Wik Black box'!N22</f>
        <v>#REF!</v>
      </c>
      <c r="AX61" s="65"/>
      <c r="AY61" s="65"/>
      <c r="AZ61" s="65"/>
      <c r="BA61" s="65"/>
      <c r="BB61" s="65"/>
      <c r="BC61" s="65"/>
      <c r="BD61" s="65"/>
      <c r="BE61" s="65"/>
      <c r="BF61" s="65"/>
      <c r="BG61" s="65"/>
      <c r="BH61" s="65"/>
      <c r="BI61" s="158"/>
      <c r="BJ61" s="158"/>
    </row>
    <row r="62" spans="1:62" s="126" customFormat="1" ht="48" customHeight="1" outlineLevel="1" x14ac:dyDescent="0.2">
      <c r="A62" s="357">
        <v>58</v>
      </c>
      <c r="B62" s="147" t="s">
        <v>411</v>
      </c>
      <c r="C62" s="147" t="s">
        <v>412</v>
      </c>
      <c r="D62" s="347"/>
      <c r="E62" s="147" t="s">
        <v>413</v>
      </c>
      <c r="F62" s="147">
        <v>1</v>
      </c>
      <c r="G62" s="179"/>
      <c r="H62" s="168" t="s">
        <v>199</v>
      </c>
      <c r="I62" s="168" t="s">
        <v>200</v>
      </c>
      <c r="J62" s="147">
        <v>0</v>
      </c>
      <c r="K62" s="108">
        <v>1000</v>
      </c>
      <c r="L62" s="108">
        <v>0</v>
      </c>
      <c r="M62" s="108">
        <v>0</v>
      </c>
      <c r="N62" s="108">
        <v>0</v>
      </c>
      <c r="O62" s="172">
        <f t="shared" si="12"/>
        <v>0</v>
      </c>
      <c r="P62" s="108">
        <v>0</v>
      </c>
      <c r="Q62" s="108"/>
      <c r="R62" s="108"/>
      <c r="S62" s="108">
        <v>2000</v>
      </c>
      <c r="T62" s="108">
        <v>10000</v>
      </c>
      <c r="U62" s="108">
        <v>65000</v>
      </c>
      <c r="V62" s="108">
        <v>122000</v>
      </c>
      <c r="W62" s="146">
        <f t="shared" si="13"/>
        <v>199000</v>
      </c>
      <c r="X62" s="174">
        <f t="shared" si="14"/>
        <v>200000</v>
      </c>
      <c r="Y62" s="175"/>
      <c r="Z62" s="175" t="s">
        <v>215</v>
      </c>
      <c r="AA62" s="175" t="s">
        <v>414</v>
      </c>
      <c r="AB62" s="62"/>
      <c r="AC62" s="63"/>
      <c r="AD62" s="63"/>
      <c r="AE62" s="63"/>
      <c r="AF62" s="63"/>
      <c r="AG62" s="63">
        <v>0</v>
      </c>
      <c r="AH62" s="63">
        <v>0</v>
      </c>
      <c r="AI62" s="185">
        <v>0</v>
      </c>
      <c r="AJ62" s="185">
        <v>0</v>
      </c>
      <c r="AK62" s="185">
        <v>0</v>
      </c>
      <c r="AL62" s="185">
        <v>0</v>
      </c>
      <c r="AM62" s="62"/>
      <c r="AN62" s="64"/>
      <c r="AO62" s="64"/>
      <c r="AP62" s="64"/>
      <c r="AQ62" s="64"/>
      <c r="AR62" s="64">
        <v>0</v>
      </c>
      <c r="AS62" s="64">
        <v>0</v>
      </c>
      <c r="AT62" s="185">
        <v>0</v>
      </c>
      <c r="AU62" s="185">
        <v>0</v>
      </c>
      <c r="AV62" s="185">
        <v>0</v>
      </c>
      <c r="AW62" s="185">
        <v>0</v>
      </c>
      <c r="AX62" s="65"/>
      <c r="AY62" s="65"/>
      <c r="AZ62" s="65"/>
      <c r="BA62" s="65"/>
      <c r="BB62" s="65"/>
      <c r="BC62" s="65"/>
      <c r="BD62" s="65"/>
      <c r="BE62" s="65"/>
      <c r="BF62" s="65"/>
      <c r="BG62" s="65"/>
      <c r="BH62" s="65"/>
      <c r="BI62" s="158"/>
      <c r="BJ62" s="158"/>
    </row>
    <row r="63" spans="1:62" s="67" customFormat="1" ht="48.75" customHeight="1" outlineLevel="1" x14ac:dyDescent="0.2">
      <c r="A63" s="357">
        <v>59</v>
      </c>
      <c r="B63" s="168" t="s">
        <v>411</v>
      </c>
      <c r="C63" s="168" t="s">
        <v>415</v>
      </c>
      <c r="D63" s="188"/>
      <c r="E63" s="168" t="s">
        <v>416</v>
      </c>
      <c r="F63" s="168">
        <v>1</v>
      </c>
      <c r="G63" s="169" t="s">
        <v>417</v>
      </c>
      <c r="H63" s="168" t="s">
        <v>199</v>
      </c>
      <c r="I63" s="168" t="s">
        <v>245</v>
      </c>
      <c r="J63" s="147">
        <v>300</v>
      </c>
      <c r="K63" s="108">
        <f>13500*25%</f>
        <v>3375</v>
      </c>
      <c r="L63" s="108">
        <v>0</v>
      </c>
      <c r="M63" s="108"/>
      <c r="N63" s="108"/>
      <c r="O63" s="172">
        <f t="shared" si="12"/>
        <v>0</v>
      </c>
      <c r="P63" s="108"/>
      <c r="Q63" s="108"/>
      <c r="R63" s="108"/>
      <c r="S63" s="108">
        <f>13500*75%</f>
        <v>10125</v>
      </c>
      <c r="T63" s="108"/>
      <c r="U63" s="108"/>
      <c r="V63" s="108"/>
      <c r="W63" s="146">
        <f t="shared" si="13"/>
        <v>10125</v>
      </c>
      <c r="X63" s="174">
        <f t="shared" si="14"/>
        <v>13500</v>
      </c>
      <c r="Y63" s="175"/>
      <c r="Z63" s="175" t="s">
        <v>215</v>
      </c>
      <c r="AA63" s="175" t="s">
        <v>414</v>
      </c>
      <c r="AB63" s="62"/>
      <c r="AC63" s="63"/>
      <c r="AD63" s="63">
        <v>0</v>
      </c>
      <c r="AE63" s="63">
        <v>0</v>
      </c>
      <c r="AF63" s="63">
        <v>0</v>
      </c>
      <c r="AG63" s="63">
        <v>0</v>
      </c>
      <c r="AH63" s="63">
        <v>0</v>
      </c>
      <c r="AI63" s="63">
        <v>0</v>
      </c>
      <c r="AJ63" s="63" t="e">
        <f>[1]Hälsoäventyret!L8</f>
        <v>#REF!</v>
      </c>
      <c r="AK63" s="63" t="e">
        <f>[1]Hälsoäventyret!M8</f>
        <v>#REF!</v>
      </c>
      <c r="AL63" s="63" t="e">
        <f>[1]Hälsoäventyret!N8</f>
        <v>#REF!</v>
      </c>
      <c r="AM63" s="62"/>
      <c r="AN63" s="64"/>
      <c r="AO63" s="64">
        <v>0</v>
      </c>
      <c r="AP63" s="64">
        <v>0</v>
      </c>
      <c r="AQ63" s="64">
        <v>0</v>
      </c>
      <c r="AR63" s="64">
        <v>0</v>
      </c>
      <c r="AS63" s="64">
        <v>0</v>
      </c>
      <c r="AT63" s="64">
        <v>0</v>
      </c>
      <c r="AU63" s="64" t="e">
        <f>-[1]Hälsoäventyret!L22</f>
        <v>#REF!</v>
      </c>
      <c r="AV63" s="64" t="e">
        <f>-[1]Hälsoäventyret!M22</f>
        <v>#REF!</v>
      </c>
      <c r="AW63" s="64" t="e">
        <f>-[1]Hälsoäventyret!N22</f>
        <v>#REF!</v>
      </c>
      <c r="AX63" s="65"/>
      <c r="AY63" s="65"/>
      <c r="AZ63" s="65"/>
      <c r="BA63" s="65"/>
      <c r="BB63" s="65"/>
      <c r="BC63" s="65"/>
      <c r="BD63" s="65"/>
      <c r="BE63" s="65"/>
      <c r="BF63" s="65"/>
      <c r="BG63" s="65"/>
      <c r="BH63" s="65"/>
      <c r="BI63" s="3"/>
      <c r="BJ63" s="3"/>
    </row>
    <row r="64" spans="1:62" s="126" customFormat="1" ht="96" hidden="1" outlineLevel="1" x14ac:dyDescent="0.2">
      <c r="A64" s="357">
        <v>60</v>
      </c>
      <c r="B64" s="168" t="s">
        <v>411</v>
      </c>
      <c r="C64" s="168" t="s">
        <v>418</v>
      </c>
      <c r="D64" s="177"/>
      <c r="E64" s="168" t="s">
        <v>419</v>
      </c>
      <c r="F64" s="168">
        <v>1</v>
      </c>
      <c r="G64" s="169" t="s">
        <v>417</v>
      </c>
      <c r="H64" s="168" t="s">
        <v>199</v>
      </c>
      <c r="I64" s="168" t="s">
        <v>200</v>
      </c>
      <c r="J64" s="147"/>
      <c r="K64" s="108">
        <v>500</v>
      </c>
      <c r="L64" s="108"/>
      <c r="M64" s="108"/>
      <c r="N64" s="108"/>
      <c r="O64" s="172">
        <f t="shared" si="12"/>
        <v>0</v>
      </c>
      <c r="P64" s="108"/>
      <c r="Q64" s="108"/>
      <c r="R64" s="108"/>
      <c r="S64" s="108"/>
      <c r="T64" s="108"/>
      <c r="U64" s="108"/>
      <c r="V64" s="108"/>
      <c r="W64" s="146">
        <f t="shared" si="13"/>
        <v>0</v>
      </c>
      <c r="X64" s="189">
        <f t="shared" si="14"/>
        <v>500</v>
      </c>
      <c r="Y64" s="175"/>
      <c r="Z64" s="175" t="s">
        <v>215</v>
      </c>
      <c r="AA64" s="175" t="s">
        <v>414</v>
      </c>
      <c r="AB64" s="62"/>
      <c r="AC64" s="63"/>
      <c r="AD64" s="63" t="e">
        <f>[1]Närvårdsavd!L8</f>
        <v>#REF!</v>
      </c>
      <c r="AE64" s="63" t="e">
        <f>[1]Närvårdsavd!M8</f>
        <v>#REF!</v>
      </c>
      <c r="AF64" s="63" t="e">
        <f>[1]Närvårdsavd!N8</f>
        <v>#REF!</v>
      </c>
      <c r="AG64" s="63" t="e">
        <f>[1]Närvårdsavd!O8</f>
        <v>#REF!</v>
      </c>
      <c r="AH64" s="63" t="e">
        <f>[1]Närvårdsavd!P8</f>
        <v>#REF!</v>
      </c>
      <c r="AI64" s="63" t="e">
        <f>[1]Närvårdsavd!Q8</f>
        <v>#REF!</v>
      </c>
      <c r="AJ64" s="63" t="e">
        <f>[1]Närvårdsavd!R8</f>
        <v>#REF!</v>
      </c>
      <c r="AK64" s="63" t="e">
        <f>[1]Närvårdsavd!S8</f>
        <v>#REF!</v>
      </c>
      <c r="AL64" s="63" t="e">
        <f>[1]Närvårdsavd!T8</f>
        <v>#REF!</v>
      </c>
      <c r="AM64" s="62"/>
      <c r="AN64" s="64"/>
      <c r="AO64" s="64" t="e">
        <f>-[1]Närvårdsavd!L22</f>
        <v>#REF!</v>
      </c>
      <c r="AP64" s="64" t="e">
        <f>-[1]Närvårdsavd!M22</f>
        <v>#REF!</v>
      </c>
      <c r="AQ64" s="64" t="e">
        <f>-[1]Närvårdsavd!N22</f>
        <v>#REF!</v>
      </c>
      <c r="AR64" s="64" t="e">
        <f>-[1]Närvårdsavd!O22</f>
        <v>#REF!</v>
      </c>
      <c r="AS64" s="64" t="e">
        <f>-[1]Närvårdsavd!P22</f>
        <v>#REF!</v>
      </c>
      <c r="AT64" s="64" t="e">
        <f>-[1]Närvårdsavd!Q22</f>
        <v>#REF!</v>
      </c>
      <c r="AU64" s="64" t="e">
        <f>-[1]Närvårdsavd!R22</f>
        <v>#REF!</v>
      </c>
      <c r="AV64" s="64" t="e">
        <f>-[1]Närvårdsavd!S22</f>
        <v>#REF!</v>
      </c>
      <c r="AW64" s="64" t="e">
        <f>-[1]Närvårdsavd!T22</f>
        <v>#REF!</v>
      </c>
      <c r="AX64" s="65"/>
      <c r="AY64" s="65"/>
      <c r="AZ64" s="65"/>
      <c r="BA64" s="65"/>
      <c r="BB64" s="65"/>
      <c r="BC64" s="65"/>
      <c r="BD64" s="65"/>
      <c r="BE64" s="65"/>
      <c r="BF64" s="65"/>
      <c r="BG64" s="65"/>
      <c r="BH64" s="65"/>
      <c r="BI64" s="158"/>
      <c r="BJ64" s="158"/>
    </row>
    <row r="65" spans="1:62" s="126" customFormat="1" ht="91.5" hidden="1" customHeight="1" outlineLevel="1" x14ac:dyDescent="0.2">
      <c r="A65" s="357">
        <v>62</v>
      </c>
      <c r="B65" s="147" t="s">
        <v>425</v>
      </c>
      <c r="C65" s="147" t="s">
        <v>426</v>
      </c>
      <c r="D65" s="147" t="s">
        <v>312</v>
      </c>
      <c r="E65" s="147"/>
      <c r="F65" s="147">
        <v>2</v>
      </c>
      <c r="G65" s="179" t="s">
        <v>427</v>
      </c>
      <c r="H65" s="168" t="s">
        <v>199</v>
      </c>
      <c r="I65" s="168" t="s">
        <v>200</v>
      </c>
      <c r="J65" s="147">
        <v>0</v>
      </c>
      <c r="K65" s="108"/>
      <c r="L65" s="108">
        <v>0</v>
      </c>
      <c r="M65" s="108"/>
      <c r="N65" s="108"/>
      <c r="O65" s="172">
        <f t="shared" si="12"/>
        <v>0</v>
      </c>
      <c r="P65" s="108"/>
      <c r="Q65" s="108"/>
      <c r="R65" s="108"/>
      <c r="S65" s="108">
        <v>1500</v>
      </c>
      <c r="T65" s="108"/>
      <c r="U65" s="108"/>
      <c r="V65" s="108"/>
      <c r="W65" s="146">
        <f t="shared" si="13"/>
        <v>1500</v>
      </c>
      <c r="X65" s="189">
        <f t="shared" si="14"/>
        <v>1500</v>
      </c>
      <c r="Y65" s="175"/>
      <c r="Z65" s="175" t="s">
        <v>215</v>
      </c>
      <c r="AA65" s="175" t="s">
        <v>428</v>
      </c>
      <c r="AB65" s="62"/>
      <c r="AC65" s="63"/>
      <c r="AD65" s="63">
        <v>0</v>
      </c>
      <c r="AE65" s="63">
        <v>0</v>
      </c>
      <c r="AF65" s="63">
        <v>0</v>
      </c>
      <c r="AG65" s="63">
        <v>0</v>
      </c>
      <c r="AH65" s="63">
        <v>0</v>
      </c>
      <c r="AI65" s="63">
        <v>0</v>
      </c>
      <c r="AJ65" s="63" t="e">
        <f>'[1]Wik Black box'!L8</f>
        <v>#REF!</v>
      </c>
      <c r="AK65" s="63" t="e">
        <f>'[1]Wik Black box'!M8</f>
        <v>#REF!</v>
      </c>
      <c r="AL65" s="63" t="e">
        <f>'[1]Wik Black box'!N8</f>
        <v>#REF!</v>
      </c>
      <c r="AM65" s="62"/>
      <c r="AN65" s="64"/>
      <c r="AO65" s="64">
        <v>0</v>
      </c>
      <c r="AP65" s="64">
        <v>0</v>
      </c>
      <c r="AQ65" s="64">
        <v>0</v>
      </c>
      <c r="AR65" s="64">
        <v>0</v>
      </c>
      <c r="AS65" s="64">
        <v>0</v>
      </c>
      <c r="AT65" s="64">
        <v>0</v>
      </c>
      <c r="AU65" s="64" t="e">
        <f>-'[1]Wik Black box'!L22</f>
        <v>#REF!</v>
      </c>
      <c r="AV65" s="64" t="e">
        <f>-'[1]Wik Black box'!M22</f>
        <v>#REF!</v>
      </c>
      <c r="AW65" s="64" t="e">
        <f>-'[1]Wik Black box'!N22</f>
        <v>#REF!</v>
      </c>
      <c r="AX65" s="65"/>
      <c r="AY65" s="65"/>
      <c r="AZ65" s="65"/>
      <c r="BA65" s="65"/>
      <c r="BB65" s="65"/>
      <c r="BC65" s="65"/>
      <c r="BD65" s="65"/>
      <c r="BE65" s="65"/>
      <c r="BF65" s="65"/>
      <c r="BG65" s="65"/>
      <c r="BH65" s="65"/>
      <c r="BI65" s="158"/>
      <c r="BJ65" s="158"/>
    </row>
    <row r="66" spans="1:62" s="126" customFormat="1" ht="48" outlineLevel="1" x14ac:dyDescent="0.2">
      <c r="A66" s="357">
        <v>63</v>
      </c>
      <c r="B66" s="147" t="s">
        <v>425</v>
      </c>
      <c r="C66" s="147" t="s">
        <v>429</v>
      </c>
      <c r="D66" s="147" t="s">
        <v>312</v>
      </c>
      <c r="E66" s="147" t="s">
        <v>430</v>
      </c>
      <c r="F66" s="147">
        <v>1</v>
      </c>
      <c r="G66" s="179" t="s">
        <v>427</v>
      </c>
      <c r="H66" s="168"/>
      <c r="I66" s="168" t="s">
        <v>200</v>
      </c>
      <c r="J66" s="147">
        <v>0</v>
      </c>
      <c r="K66" s="108"/>
      <c r="L66" s="108">
        <v>0</v>
      </c>
      <c r="M66" s="108"/>
      <c r="N66" s="108"/>
      <c r="O66" s="172">
        <f t="shared" si="12"/>
        <v>0</v>
      </c>
      <c r="P66" s="108"/>
      <c r="Q66" s="108"/>
      <c r="R66" s="108"/>
      <c r="S66" s="108">
        <v>5000</v>
      </c>
      <c r="T66" s="108"/>
      <c r="U66" s="108"/>
      <c r="V66" s="108"/>
      <c r="W66" s="146">
        <f t="shared" si="13"/>
        <v>5000</v>
      </c>
      <c r="X66" s="189">
        <f t="shared" si="14"/>
        <v>5000</v>
      </c>
      <c r="Y66" s="147"/>
      <c r="Z66" s="175" t="s">
        <v>225</v>
      </c>
      <c r="AA66" s="175" t="s">
        <v>431</v>
      </c>
      <c r="AB66" s="62"/>
      <c r="AC66" s="63"/>
      <c r="AD66" s="63"/>
      <c r="AE66" s="63"/>
      <c r="AF66" s="63"/>
      <c r="AG66" s="180"/>
      <c r="AH66" s="180"/>
      <c r="AI66" s="180"/>
      <c r="AJ66" s="180"/>
      <c r="AK66" s="180"/>
      <c r="AL66" s="180"/>
      <c r="AM66" s="62"/>
      <c r="AN66" s="64"/>
      <c r="AO66" s="64"/>
      <c r="AP66" s="64"/>
      <c r="AQ66" s="64"/>
      <c r="AR66" s="190"/>
      <c r="AS66" s="190"/>
      <c r="AT66" s="190"/>
      <c r="AU66" s="190"/>
      <c r="AV66" s="190"/>
      <c r="AW66" s="190"/>
      <c r="AX66" s="65"/>
      <c r="AY66" s="65"/>
      <c r="AZ66" s="65"/>
      <c r="BA66" s="65"/>
      <c r="BB66" s="65"/>
      <c r="BC66" s="65"/>
      <c r="BD66" s="65"/>
      <c r="BE66" s="65"/>
      <c r="BF66" s="65"/>
      <c r="BG66" s="65"/>
      <c r="BH66" s="65"/>
      <c r="BI66" s="158"/>
      <c r="BJ66" s="158"/>
    </row>
    <row r="67" spans="1:62" s="102" customFormat="1" ht="16" x14ac:dyDescent="0.2">
      <c r="A67" s="357"/>
      <c r="B67" s="233"/>
      <c r="C67" s="234" t="s">
        <v>436</v>
      </c>
      <c r="D67" s="235"/>
      <c r="E67" s="236"/>
      <c r="F67" s="236"/>
      <c r="G67" s="236"/>
      <c r="H67" s="236"/>
      <c r="I67" s="236"/>
      <c r="J67" s="239">
        <f>SUM(J50:J66)</f>
        <v>300</v>
      </c>
      <c r="K67" s="239">
        <f>SUM(K50:K66)</f>
        <v>5075</v>
      </c>
      <c r="L67" s="239">
        <f t="shared" ref="L67:X67" si="15">SUM(L50:L66)</f>
        <v>0</v>
      </c>
      <c r="M67" s="239">
        <f t="shared" si="15"/>
        <v>0</v>
      </c>
      <c r="N67" s="239">
        <f t="shared" si="15"/>
        <v>0</v>
      </c>
      <c r="O67" s="239">
        <f t="shared" si="15"/>
        <v>0</v>
      </c>
      <c r="P67" s="239">
        <f t="shared" si="15"/>
        <v>0</v>
      </c>
      <c r="Q67" s="239">
        <f t="shared" si="15"/>
        <v>0</v>
      </c>
      <c r="R67" s="239">
        <f t="shared" si="15"/>
        <v>0</v>
      </c>
      <c r="S67" s="239">
        <f t="shared" si="15"/>
        <v>152325</v>
      </c>
      <c r="T67" s="239">
        <f t="shared" si="15"/>
        <v>122500</v>
      </c>
      <c r="U67" s="239">
        <f t="shared" si="15"/>
        <v>65000</v>
      </c>
      <c r="V67" s="239">
        <f t="shared" si="15"/>
        <v>122000</v>
      </c>
      <c r="W67" s="239">
        <f t="shared" si="15"/>
        <v>461825</v>
      </c>
      <c r="X67" s="239">
        <f t="shared" si="15"/>
        <v>466900</v>
      </c>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4"/>
      <c r="BJ67" s="4"/>
    </row>
    <row r="68" spans="1:62" s="126" customFormat="1" ht="16" outlineLevel="1" x14ac:dyDescent="0.2">
      <c r="A68" s="357"/>
      <c r="B68" s="147"/>
      <c r="C68" s="147"/>
      <c r="D68" s="147"/>
      <c r="E68" s="147"/>
      <c r="F68" s="147"/>
      <c r="G68" s="179"/>
      <c r="H68" s="168"/>
      <c r="I68" s="168"/>
      <c r="J68" s="147"/>
      <c r="K68" s="108"/>
      <c r="L68" s="108"/>
      <c r="M68" s="108"/>
      <c r="N68" s="108"/>
      <c r="O68" s="172"/>
      <c r="P68" s="108"/>
      <c r="Q68" s="108"/>
      <c r="R68" s="108"/>
      <c r="S68" s="108"/>
      <c r="T68" s="108"/>
      <c r="U68" s="108"/>
      <c r="V68" s="108"/>
      <c r="W68" s="146"/>
      <c r="X68" s="189"/>
      <c r="Y68" s="147"/>
      <c r="Z68" s="175"/>
      <c r="AA68" s="175"/>
      <c r="AB68" s="62"/>
      <c r="AC68" s="63"/>
      <c r="AD68" s="63"/>
      <c r="AE68" s="63"/>
      <c r="AF68" s="63"/>
      <c r="AG68" s="185"/>
      <c r="AH68" s="185"/>
      <c r="AI68" s="185"/>
      <c r="AJ68" s="185"/>
      <c r="AK68" s="185"/>
      <c r="AL68" s="185"/>
      <c r="AM68" s="62"/>
      <c r="AN68" s="64"/>
      <c r="AO68" s="64"/>
      <c r="AP68" s="64"/>
      <c r="AQ68" s="64"/>
      <c r="AR68" s="185"/>
      <c r="AS68" s="185"/>
      <c r="AT68" s="185"/>
      <c r="AU68" s="185"/>
      <c r="AV68" s="185"/>
      <c r="AW68" s="185"/>
      <c r="AX68" s="65"/>
      <c r="AY68" s="65"/>
      <c r="AZ68" s="65"/>
      <c r="BA68" s="65"/>
      <c r="BB68" s="65"/>
      <c r="BC68" s="65"/>
      <c r="BD68" s="65"/>
      <c r="BE68" s="65"/>
      <c r="BF68" s="65"/>
      <c r="BG68" s="65"/>
      <c r="BH68" s="65"/>
      <c r="BI68" s="158"/>
      <c r="BJ68" s="158"/>
    </row>
    <row r="69" spans="1:62" s="257" customFormat="1" ht="16" x14ac:dyDescent="0.2">
      <c r="A69" s="359"/>
      <c r="B69" s="253"/>
      <c r="C69" s="254" t="s">
        <v>437</v>
      </c>
      <c r="D69" s="255"/>
      <c r="E69" s="227"/>
      <c r="F69" s="227"/>
      <c r="G69" s="227"/>
      <c r="H69" s="254"/>
      <c r="I69" s="254"/>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256"/>
      <c r="BJ69" s="256"/>
    </row>
    <row r="70" spans="1:62" s="126" customFormat="1" ht="32" outlineLevel="1" x14ac:dyDescent="0.2">
      <c r="A70" s="357">
        <v>71</v>
      </c>
      <c r="B70" s="191" t="s">
        <v>438</v>
      </c>
      <c r="C70" s="168" t="s">
        <v>451</v>
      </c>
      <c r="D70" s="177" t="s">
        <v>452</v>
      </c>
      <c r="E70" s="168" t="s">
        <v>453</v>
      </c>
      <c r="F70" s="168">
        <v>4</v>
      </c>
      <c r="G70" s="169"/>
      <c r="H70" s="168" t="s">
        <v>157</v>
      </c>
      <c r="I70" s="147" t="s">
        <v>510</v>
      </c>
      <c r="J70" s="108">
        <v>80000</v>
      </c>
      <c r="K70" s="108"/>
      <c r="L70" s="108"/>
      <c r="M70" s="108"/>
      <c r="N70" s="108"/>
      <c r="O70" s="172">
        <f>L70+M70+N70</f>
        <v>0</v>
      </c>
      <c r="P70" s="108">
        <v>0</v>
      </c>
      <c r="Q70" s="108">
        <v>0</v>
      </c>
      <c r="R70" s="108"/>
      <c r="S70" s="108">
        <v>34000</v>
      </c>
      <c r="T70" s="108">
        <v>34000</v>
      </c>
      <c r="U70" s="108"/>
      <c r="V70" s="108"/>
      <c r="W70" s="146">
        <f>O70+P70+Q70+R70+S70+T70+U70+V70</f>
        <v>68000</v>
      </c>
      <c r="X70" s="189">
        <f>K70+L70+M70+N70+P70+Q70+R70+S70+T70+U70+V70</f>
        <v>68000</v>
      </c>
      <c r="Y70" s="175"/>
      <c r="Z70" s="175" t="s">
        <v>441</v>
      </c>
      <c r="AA70" s="175" t="s">
        <v>442</v>
      </c>
      <c r="AB70" s="62"/>
      <c r="AC70" s="63"/>
      <c r="AD70" s="63"/>
      <c r="AE70" s="63"/>
      <c r="AF70" s="63"/>
      <c r="AG70" s="63"/>
      <c r="AH70" s="63"/>
      <c r="AI70" s="63"/>
      <c r="AJ70" s="63"/>
      <c r="AK70" s="63"/>
      <c r="AL70" s="63"/>
      <c r="AM70" s="62"/>
      <c r="AN70" s="64"/>
      <c r="AO70" s="64"/>
      <c r="AP70" s="64"/>
      <c r="AQ70" s="64"/>
      <c r="AR70" s="64"/>
      <c r="AS70" s="64">
        <v>0</v>
      </c>
      <c r="AT70" s="64">
        <v>0</v>
      </c>
      <c r="AU70" s="64">
        <v>0</v>
      </c>
      <c r="AV70" s="64" t="e">
        <f>-[1]Akvifer!L22/12*6</f>
        <v>#REF!</v>
      </c>
      <c r="AW70" s="64" t="e">
        <f>-[1]Akvifer!M22</f>
        <v>#REF!</v>
      </c>
      <c r="AX70" s="65"/>
      <c r="AY70" s="65"/>
      <c r="AZ70" s="65"/>
      <c r="BA70" s="65"/>
      <c r="BB70" s="65"/>
      <c r="BC70" s="65"/>
      <c r="BD70" s="65"/>
      <c r="BE70" s="65"/>
      <c r="BF70" s="65"/>
      <c r="BG70" s="65"/>
      <c r="BH70" s="65"/>
      <c r="BI70" s="158"/>
      <c r="BJ70" s="158"/>
    </row>
    <row r="71" spans="1:62" s="257" customFormat="1" ht="32" x14ac:dyDescent="0.2">
      <c r="A71" s="359"/>
      <c r="B71" s="253"/>
      <c r="C71" s="254" t="s">
        <v>465</v>
      </c>
      <c r="D71" s="255"/>
      <c r="E71" s="227"/>
      <c r="F71" s="227"/>
      <c r="G71" s="227"/>
      <c r="H71" s="254"/>
      <c r="I71" s="254"/>
      <c r="J71" s="78">
        <f>SUM(J70)</f>
        <v>80000</v>
      </c>
      <c r="K71" s="78">
        <f t="shared" ref="K71:X71" si="16">SUM(K70)</f>
        <v>0</v>
      </c>
      <c r="L71" s="78">
        <f t="shared" si="16"/>
        <v>0</v>
      </c>
      <c r="M71" s="78">
        <f t="shared" si="16"/>
        <v>0</v>
      </c>
      <c r="N71" s="78">
        <f t="shared" si="16"/>
        <v>0</v>
      </c>
      <c r="O71" s="78">
        <f t="shared" si="16"/>
        <v>0</v>
      </c>
      <c r="P71" s="78">
        <f t="shared" si="16"/>
        <v>0</v>
      </c>
      <c r="Q71" s="78">
        <f t="shared" si="16"/>
        <v>0</v>
      </c>
      <c r="R71" s="78">
        <f t="shared" si="16"/>
        <v>0</v>
      </c>
      <c r="S71" s="78">
        <f t="shared" si="16"/>
        <v>34000</v>
      </c>
      <c r="T71" s="78">
        <f t="shared" si="16"/>
        <v>34000</v>
      </c>
      <c r="U71" s="78">
        <f t="shared" si="16"/>
        <v>0</v>
      </c>
      <c r="V71" s="78">
        <f t="shared" si="16"/>
        <v>0</v>
      </c>
      <c r="W71" s="78">
        <f t="shared" si="16"/>
        <v>68000</v>
      </c>
      <c r="X71" s="78">
        <f t="shared" si="16"/>
        <v>68000</v>
      </c>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256"/>
      <c r="BJ71" s="256"/>
    </row>
    <row r="72" spans="1:62" s="1" customFormat="1" ht="18" x14ac:dyDescent="0.2">
      <c r="A72" s="360"/>
      <c r="B72" s="265"/>
      <c r="C72" s="265" t="s">
        <v>511</v>
      </c>
      <c r="D72" s="266"/>
      <c r="E72" s="267"/>
      <c r="F72" s="267"/>
      <c r="G72" s="267"/>
      <c r="H72" s="268"/>
      <c r="I72" s="268"/>
      <c r="J72" s="269">
        <f>J71+J67+J47+J38+J34</f>
        <v>102413</v>
      </c>
      <c r="K72" s="269">
        <f>K71+K67+K47+K38+K34</f>
        <v>39217</v>
      </c>
      <c r="L72" s="269">
        <f t="shared" ref="L72:X72" si="17">L71+L67+L47+L38+L34</f>
        <v>0</v>
      </c>
      <c r="M72" s="269">
        <f t="shared" si="17"/>
        <v>0</v>
      </c>
      <c r="N72" s="269">
        <f t="shared" si="17"/>
        <v>0</v>
      </c>
      <c r="O72" s="269">
        <f t="shared" si="17"/>
        <v>0</v>
      </c>
      <c r="P72" s="269">
        <f t="shared" si="17"/>
        <v>0</v>
      </c>
      <c r="Q72" s="269">
        <f t="shared" si="17"/>
        <v>0</v>
      </c>
      <c r="R72" s="269">
        <f t="shared" si="17"/>
        <v>0</v>
      </c>
      <c r="S72" s="269">
        <f t="shared" si="17"/>
        <v>789533</v>
      </c>
      <c r="T72" s="269">
        <f t="shared" si="17"/>
        <v>953750</v>
      </c>
      <c r="U72" s="269">
        <f t="shared" si="17"/>
        <v>833250</v>
      </c>
      <c r="V72" s="269">
        <f t="shared" si="17"/>
        <v>754750</v>
      </c>
      <c r="W72" s="269">
        <f t="shared" si="17"/>
        <v>3331283</v>
      </c>
      <c r="X72" s="269">
        <f t="shared" si="17"/>
        <v>3370500</v>
      </c>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4"/>
      <c r="BJ72" s="4"/>
    </row>
  </sheetData>
  <mergeCells count="4">
    <mergeCell ref="A2:E2"/>
    <mergeCell ref="I3:J3"/>
    <mergeCell ref="I5:J5"/>
    <mergeCell ref="I7:J7"/>
  </mergeCells>
  <pageMargins left="0.70866141732283472" right="0.70866141732283472" top="0.74803149606299213" bottom="0.74803149606299213" header="0.31496062992125984" footer="0.31496062992125984"/>
  <pageSetup paperSize="9" scale="4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5</vt:i4>
      </vt:variant>
    </vt:vector>
  </HeadingPairs>
  <TitlesOfParts>
    <vt:vector size="5" baseType="lpstr">
      <vt:lpstr>föränd jfr inv plan</vt:lpstr>
      <vt:lpstr>Invram per styrelsenämnd</vt:lpstr>
      <vt:lpstr>Inv plan 2018-2027 sekretess</vt:lpstr>
      <vt:lpstr>Inv plan 2018-2027 underlag RPB</vt:lpstr>
      <vt:lpstr>inv plan efter år 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G Johansson</dc:creator>
  <cp:lastModifiedBy>Microsoft Office-användare</cp:lastModifiedBy>
  <cp:lastPrinted>2017-05-17T21:01:57Z</cp:lastPrinted>
  <dcterms:created xsi:type="dcterms:W3CDTF">2017-04-20T13:19:50Z</dcterms:created>
  <dcterms:modified xsi:type="dcterms:W3CDTF">2017-05-22T20:04:48Z</dcterms:modified>
</cp:coreProperties>
</file>